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a12930\Desktop\"/>
    </mc:Choice>
  </mc:AlternateContent>
  <bookViews>
    <workbookView xWindow="0" yWindow="0" windowWidth="28800" windowHeight="12270"/>
  </bookViews>
  <sheets>
    <sheet name="115-3" sheetId="3" r:id="rId1"/>
  </sheets>
  <definedNames>
    <definedName name="_xlnm.Print_Area" localSheetId="0">'115-3'!$A$1:$L$196</definedName>
  </definedNames>
  <calcPr calcId="15251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6" i="3" l="1"/>
  <c r="G59" i="3"/>
  <c r="C157" i="3" l="1"/>
  <c r="J156" i="3" l="1"/>
  <c r="E157" i="3"/>
  <c r="F157" i="3"/>
  <c r="G157" i="3"/>
  <c r="I157" i="3"/>
  <c r="I156" i="3"/>
  <c r="D157" i="3"/>
  <c r="C141" i="3"/>
  <c r="C55" i="3" l="1"/>
  <c r="C175" i="3"/>
  <c r="C153" i="3"/>
  <c r="C135" i="3"/>
  <c r="C124" i="3"/>
  <c r="C112" i="3"/>
  <c r="C111" i="3"/>
  <c r="C107" i="3"/>
  <c r="C100" i="3"/>
  <c r="C96" i="3"/>
  <c r="C92" i="3"/>
  <c r="C82" i="3"/>
  <c r="C81" i="3"/>
  <c r="C74" i="3"/>
  <c r="C51" i="3"/>
  <c r="C47" i="3"/>
  <c r="C37" i="3"/>
  <c r="I175" i="3" l="1"/>
  <c r="H175" i="3"/>
  <c r="G175" i="3"/>
  <c r="F175" i="3"/>
  <c r="E175" i="3"/>
  <c r="H174" i="3"/>
  <c r="G174" i="3"/>
  <c r="F174" i="3"/>
  <c r="E174" i="3"/>
  <c r="D174" i="3"/>
  <c r="C174" i="3"/>
  <c r="I173" i="3"/>
  <c r="J173" i="3" s="1"/>
  <c r="H171" i="3"/>
  <c r="G171" i="3"/>
  <c r="F171" i="3"/>
  <c r="E171" i="3"/>
  <c r="D171" i="3"/>
  <c r="C171" i="3"/>
  <c r="I170" i="3"/>
  <c r="J170" i="3" s="1"/>
  <c r="H167" i="3"/>
  <c r="G167" i="3"/>
  <c r="G168" i="3" s="1"/>
  <c r="F167" i="3"/>
  <c r="F168" i="3" s="1"/>
  <c r="E167" i="3"/>
  <c r="E168" i="3" s="1"/>
  <c r="D167" i="3"/>
  <c r="D168" i="3" s="1"/>
  <c r="C167" i="3"/>
  <c r="C168" i="3" s="1"/>
  <c r="I165" i="3"/>
  <c r="H165" i="3"/>
  <c r="G165" i="3"/>
  <c r="F165" i="3"/>
  <c r="E165" i="3"/>
  <c r="D165" i="3"/>
  <c r="I164" i="3"/>
  <c r="J164" i="3" s="1"/>
  <c r="I163" i="3"/>
  <c r="J163" i="3" s="1"/>
  <c r="C163" i="3"/>
  <c r="C165" i="3" s="1"/>
  <c r="I162" i="3"/>
  <c r="J162" i="3" s="1"/>
  <c r="I161" i="3"/>
  <c r="J161" i="3" s="1"/>
  <c r="I160" i="3"/>
  <c r="J160" i="3" s="1"/>
  <c r="I159" i="3"/>
  <c r="J159" i="3" s="1"/>
  <c r="H157" i="3"/>
  <c r="I155" i="3"/>
  <c r="J155" i="3" s="1"/>
  <c r="I154" i="3"/>
  <c r="J154" i="3" s="1"/>
  <c r="I153" i="3"/>
  <c r="J153" i="3" s="1"/>
  <c r="I152" i="3"/>
  <c r="J152" i="3" s="1"/>
  <c r="I151" i="3"/>
  <c r="J151" i="3" s="1"/>
  <c r="I150" i="3"/>
  <c r="J150" i="3" s="1"/>
  <c r="I149" i="3"/>
  <c r="J149" i="3" s="1"/>
  <c r="I148" i="3"/>
  <c r="C148" i="3"/>
  <c r="I147" i="3"/>
  <c r="J147" i="3" s="1"/>
  <c r="I146" i="3"/>
  <c r="J146" i="3" s="1"/>
  <c r="C146" i="3"/>
  <c r="I145" i="3"/>
  <c r="J145" i="3" s="1"/>
  <c r="I144" i="3"/>
  <c r="C144" i="3"/>
  <c r="I143" i="3"/>
  <c r="C143" i="3"/>
  <c r="I142" i="3"/>
  <c r="J142" i="3" s="1"/>
  <c r="I141" i="3"/>
  <c r="J141" i="3" s="1"/>
  <c r="I140" i="3"/>
  <c r="J140" i="3" s="1"/>
  <c r="I139" i="3"/>
  <c r="J139" i="3" s="1"/>
  <c r="C139" i="3"/>
  <c r="I138" i="3"/>
  <c r="J138" i="3" s="1"/>
  <c r="I137" i="3"/>
  <c r="J137" i="3" s="1"/>
  <c r="I136" i="3"/>
  <c r="J136" i="3" s="1"/>
  <c r="I135" i="3"/>
  <c r="J135" i="3" s="1"/>
  <c r="H133" i="3"/>
  <c r="G133" i="3"/>
  <c r="F133" i="3"/>
  <c r="E133" i="3"/>
  <c r="D133" i="3"/>
  <c r="I132" i="3"/>
  <c r="C132" i="3"/>
  <c r="I131" i="3"/>
  <c r="J131" i="3" s="1"/>
  <c r="C131" i="3"/>
  <c r="I130" i="3"/>
  <c r="C130" i="3"/>
  <c r="I129" i="3"/>
  <c r="J129" i="3" s="1"/>
  <c r="C129" i="3"/>
  <c r="I128" i="3"/>
  <c r="J128" i="3" s="1"/>
  <c r="I127" i="3"/>
  <c r="J127" i="3" s="1"/>
  <c r="I126" i="3"/>
  <c r="J126" i="3" s="1"/>
  <c r="I125" i="3"/>
  <c r="C125" i="3"/>
  <c r="I124" i="3"/>
  <c r="J124" i="3" s="1"/>
  <c r="I123" i="3"/>
  <c r="C123" i="3"/>
  <c r="I122" i="3"/>
  <c r="J122" i="3" s="1"/>
  <c r="I121" i="3"/>
  <c r="C121" i="3"/>
  <c r="I120" i="3"/>
  <c r="C120" i="3"/>
  <c r="H118" i="3"/>
  <c r="G118" i="3"/>
  <c r="F118" i="3"/>
  <c r="E118" i="3"/>
  <c r="D118" i="3"/>
  <c r="I117" i="3"/>
  <c r="J117" i="3" s="1"/>
  <c r="C117" i="3"/>
  <c r="I116" i="3"/>
  <c r="J116" i="3" s="1"/>
  <c r="I115" i="3"/>
  <c r="C115" i="3"/>
  <c r="I114" i="3"/>
  <c r="J114" i="3" s="1"/>
  <c r="I113" i="3"/>
  <c r="J113" i="3" s="1"/>
  <c r="I112" i="3"/>
  <c r="J112" i="3" s="1"/>
  <c r="I111" i="3"/>
  <c r="J111" i="3" s="1"/>
  <c r="I110" i="3"/>
  <c r="J110" i="3" s="1"/>
  <c r="C110" i="3"/>
  <c r="I109" i="3"/>
  <c r="C109" i="3"/>
  <c r="I108" i="3"/>
  <c r="J108" i="3" s="1"/>
  <c r="C108" i="3"/>
  <c r="I107" i="3"/>
  <c r="J107" i="3" s="1"/>
  <c r="I106" i="3"/>
  <c r="C106" i="3"/>
  <c r="I105" i="3"/>
  <c r="J105" i="3" s="1"/>
  <c r="C105" i="3"/>
  <c r="I104" i="3"/>
  <c r="C104" i="3"/>
  <c r="I103" i="3"/>
  <c r="J103" i="3" s="1"/>
  <c r="I102" i="3"/>
  <c r="C102" i="3"/>
  <c r="I101" i="3"/>
  <c r="J101" i="3" s="1"/>
  <c r="C101" i="3"/>
  <c r="I100" i="3"/>
  <c r="J100" i="3" s="1"/>
  <c r="I99" i="3"/>
  <c r="C99" i="3"/>
  <c r="I98" i="3"/>
  <c r="J98" i="3" s="1"/>
  <c r="I97" i="3"/>
  <c r="C97" i="3"/>
  <c r="I96" i="3"/>
  <c r="J96" i="3" s="1"/>
  <c r="I95" i="3"/>
  <c r="C95" i="3"/>
  <c r="C118" i="3" s="1"/>
  <c r="I94" i="3"/>
  <c r="J94" i="3" s="1"/>
  <c r="I93" i="3"/>
  <c r="J93" i="3" s="1"/>
  <c r="I92" i="3"/>
  <c r="J92" i="3" s="1"/>
  <c r="I91" i="3"/>
  <c r="J91" i="3" s="1"/>
  <c r="H89" i="3"/>
  <c r="G89" i="3"/>
  <c r="F89" i="3"/>
  <c r="E89" i="3"/>
  <c r="D89" i="3"/>
  <c r="I88" i="3"/>
  <c r="J88" i="3" s="1"/>
  <c r="I87" i="3"/>
  <c r="C87" i="3"/>
  <c r="I86" i="3"/>
  <c r="J86" i="3" s="1"/>
  <c r="I85" i="3"/>
  <c r="J85" i="3" s="1"/>
  <c r="I84" i="3"/>
  <c r="C84" i="3"/>
  <c r="I83" i="3"/>
  <c r="J83" i="3" s="1"/>
  <c r="I82" i="3"/>
  <c r="J82" i="3" s="1"/>
  <c r="I81" i="3"/>
  <c r="J81" i="3" s="1"/>
  <c r="I80" i="3"/>
  <c r="C80" i="3"/>
  <c r="I79" i="3"/>
  <c r="J79" i="3" s="1"/>
  <c r="C79" i="3"/>
  <c r="I78" i="3"/>
  <c r="J78" i="3" s="1"/>
  <c r="I77" i="3"/>
  <c r="C77" i="3"/>
  <c r="I76" i="3"/>
  <c r="J76" i="3" s="1"/>
  <c r="I75" i="3"/>
  <c r="J75" i="3" s="1"/>
  <c r="I74" i="3"/>
  <c r="J74" i="3" s="1"/>
  <c r="I73" i="3"/>
  <c r="C73" i="3"/>
  <c r="I72" i="3"/>
  <c r="J72" i="3" s="1"/>
  <c r="I71" i="3"/>
  <c r="J71" i="3" s="1"/>
  <c r="I70" i="3"/>
  <c r="C70" i="3"/>
  <c r="C89" i="3" s="1"/>
  <c r="I69" i="3"/>
  <c r="C69" i="3"/>
  <c r="H67" i="3"/>
  <c r="G67" i="3"/>
  <c r="F67" i="3"/>
  <c r="E67" i="3"/>
  <c r="D67" i="3"/>
  <c r="I66" i="3"/>
  <c r="J66" i="3" s="1"/>
  <c r="I65" i="3"/>
  <c r="J65" i="3" s="1"/>
  <c r="I64" i="3"/>
  <c r="J64" i="3" s="1"/>
  <c r="I63" i="3"/>
  <c r="J63" i="3" s="1"/>
  <c r="I62" i="3"/>
  <c r="C62" i="3"/>
  <c r="J62" i="3" s="1"/>
  <c r="I61" i="3"/>
  <c r="C61" i="3"/>
  <c r="C67" i="3" s="1"/>
  <c r="H59" i="3"/>
  <c r="F59" i="3"/>
  <c r="E59" i="3"/>
  <c r="I58" i="3"/>
  <c r="J58" i="3" s="1"/>
  <c r="I57" i="3"/>
  <c r="J57" i="3" s="1"/>
  <c r="D57" i="3"/>
  <c r="D59" i="3" s="1"/>
  <c r="I56" i="3"/>
  <c r="C56" i="3"/>
  <c r="I55" i="3"/>
  <c r="J55" i="3" s="1"/>
  <c r="I54" i="3"/>
  <c r="J54" i="3" s="1"/>
  <c r="I53" i="3"/>
  <c r="J53" i="3" s="1"/>
  <c r="I52" i="3"/>
  <c r="C52" i="3"/>
  <c r="I51" i="3"/>
  <c r="J51" i="3" s="1"/>
  <c r="I50" i="3"/>
  <c r="J50" i="3" s="1"/>
  <c r="I49" i="3"/>
  <c r="J49" i="3" s="1"/>
  <c r="I48" i="3"/>
  <c r="J48" i="3" s="1"/>
  <c r="I47" i="3"/>
  <c r="J47" i="3" s="1"/>
  <c r="I46" i="3"/>
  <c r="J46" i="3" s="1"/>
  <c r="C46" i="3"/>
  <c r="I45" i="3"/>
  <c r="C45" i="3"/>
  <c r="I44" i="3"/>
  <c r="C44" i="3"/>
  <c r="I43" i="3"/>
  <c r="J43" i="3" s="1"/>
  <c r="I42" i="3"/>
  <c r="J42" i="3" s="1"/>
  <c r="I41" i="3"/>
  <c r="J41" i="3" s="1"/>
  <c r="I40" i="3"/>
  <c r="J40" i="3" s="1"/>
  <c r="I39" i="3"/>
  <c r="J39" i="3" s="1"/>
  <c r="I38" i="3"/>
  <c r="C38" i="3"/>
  <c r="I37" i="3"/>
  <c r="J37" i="3" s="1"/>
  <c r="I36" i="3"/>
  <c r="C36" i="3"/>
  <c r="I35" i="3"/>
  <c r="C35" i="3"/>
  <c r="I34" i="3"/>
  <c r="J34" i="3" s="1"/>
  <c r="C34" i="3"/>
  <c r="I33" i="3"/>
  <c r="C33" i="3"/>
  <c r="I32" i="3"/>
  <c r="C32" i="3"/>
  <c r="I31" i="3"/>
  <c r="C31" i="3"/>
  <c r="I30" i="3"/>
  <c r="C30" i="3"/>
  <c r="I29" i="3"/>
  <c r="C29" i="3"/>
  <c r="I28" i="3"/>
  <c r="J28" i="3" s="1"/>
  <c r="C28" i="3"/>
  <c r="I27" i="3"/>
  <c r="C27" i="3"/>
  <c r="I26" i="3"/>
  <c r="J26" i="3" s="1"/>
  <c r="F14" i="3"/>
  <c r="G13" i="3" s="1"/>
  <c r="D176" i="3" l="1"/>
  <c r="E176" i="3"/>
  <c r="F176" i="3"/>
  <c r="J70" i="3"/>
  <c r="G176" i="3"/>
  <c r="J106" i="3"/>
  <c r="J61" i="3"/>
  <c r="J84" i="3"/>
  <c r="C59" i="3"/>
  <c r="J38" i="3"/>
  <c r="J99" i="3"/>
  <c r="I167" i="3"/>
  <c r="J167" i="3" s="1"/>
  <c r="J123" i="3"/>
  <c r="J175" i="3"/>
  <c r="J45" i="3"/>
  <c r="I67" i="3"/>
  <c r="J67" i="3" s="1"/>
  <c r="J115" i="3"/>
  <c r="C133" i="3"/>
  <c r="C176" i="3" s="1"/>
  <c r="J148" i="3"/>
  <c r="J95" i="3"/>
  <c r="J36" i="3"/>
  <c r="J130" i="3"/>
  <c r="J165" i="3"/>
  <c r="J97" i="3"/>
  <c r="J87" i="3"/>
  <c r="J109" i="3"/>
  <c r="I133" i="3"/>
  <c r="J132" i="3"/>
  <c r="J30" i="3"/>
  <c r="J77" i="3"/>
  <c r="J32" i="3"/>
  <c r="J44" i="3"/>
  <c r="J102" i="3"/>
  <c r="J33" i="3"/>
  <c r="J80" i="3"/>
  <c r="J104" i="3"/>
  <c r="J125" i="3"/>
  <c r="J35" i="3"/>
  <c r="J27" i="3"/>
  <c r="J73" i="3"/>
  <c r="J52" i="3"/>
  <c r="J143" i="3"/>
  <c r="J29" i="3"/>
  <c r="J144" i="3"/>
  <c r="J121" i="3"/>
  <c r="J56" i="3"/>
  <c r="J31" i="3"/>
  <c r="J69" i="3"/>
  <c r="H168" i="3"/>
  <c r="H176" i="3" s="1"/>
  <c r="I174" i="3"/>
  <c r="I59" i="3"/>
  <c r="I118" i="3"/>
  <c r="J118" i="3" s="1"/>
  <c r="J120" i="3"/>
  <c r="I171" i="3"/>
  <c r="J171" i="3" s="1"/>
  <c r="I89" i="3"/>
  <c r="J89" i="3" s="1"/>
  <c r="J157" i="3"/>
  <c r="J59" i="3" l="1"/>
  <c r="I168" i="3"/>
  <c r="J168" i="3" s="1"/>
  <c r="J133" i="3"/>
  <c r="I176" i="3"/>
  <c r="H182" i="3" s="1"/>
  <c r="J174" i="3"/>
  <c r="J176" i="3" l="1"/>
</calcChain>
</file>

<file path=xl/sharedStrings.xml><?xml version="1.0" encoding="utf-8"?>
<sst xmlns="http://schemas.openxmlformats.org/spreadsheetml/2006/main" count="329" uniqueCount="283">
  <si>
    <t>澎湖縣政府</t>
  </si>
  <si>
    <t>公益彩券盈餘分配辦理社會福利事業情形季報表</t>
  </si>
  <si>
    <t>一、公益彩券盈餘分配款項管理方式：□基金管理■收支併列。</t>
  </si>
  <si>
    <t>二、公庫向公益彩券盈餘基金或專戶調借情形：</t>
  </si>
  <si>
    <t xml:space="preserve">    ■納入集中支付(計息：■是、□否)</t>
  </si>
  <si>
    <t xml:space="preserve">    □未納入集中支付</t>
  </si>
  <si>
    <t xml:space="preserve">      □未調借</t>
  </si>
  <si>
    <r>
      <rPr>
        <sz val="14"/>
        <color rgb="FF000000"/>
        <rFont val="DFKai-SB"/>
        <family val="4"/>
        <charset val="136"/>
      </rPr>
      <t xml:space="preserve">      □調借，計息：□是、□否，未歸墊金額總計</t>
    </r>
    <r>
      <rPr>
        <u/>
        <sz val="14"/>
        <color rgb="FF000000"/>
        <rFont val="標楷體"/>
        <family val="4"/>
        <charset val="136"/>
      </rPr>
      <t xml:space="preserve">              </t>
    </r>
    <r>
      <rPr>
        <sz val="14"/>
        <color rgb="FF000000"/>
        <rFont val="標楷體"/>
        <family val="4"/>
        <charset val="136"/>
      </rPr>
      <t>。</t>
    </r>
  </si>
  <si>
    <t>元。</t>
  </si>
  <si>
    <t>四、以前年度剩餘款處理情形：</t>
  </si>
  <si>
    <r>
      <rPr>
        <sz val="14"/>
        <color rgb="FF000000"/>
        <rFont val="DFKai-SB"/>
        <family val="4"/>
        <charset val="136"/>
      </rPr>
      <t>（一）截至去年度12月31日止，公益彩券盈餘分配待運用數為</t>
    </r>
    <r>
      <rPr>
        <b/>
        <sz val="14"/>
        <color rgb="FF000000"/>
        <rFont val="標楷體"/>
        <family val="4"/>
        <charset val="136"/>
      </rPr>
      <t>(a)</t>
    </r>
    <r>
      <rPr>
        <b/>
        <u/>
        <sz val="14"/>
        <color rgb="FF000000"/>
        <rFont val="標楷體"/>
        <family val="4"/>
        <charset val="136"/>
      </rPr>
      <t xml:space="preserve"> </t>
    </r>
  </si>
  <si>
    <r>
      <rPr>
        <sz val="13"/>
        <color rgb="FF000000"/>
        <rFont val="DFKai-SB"/>
        <family val="4"/>
        <charset val="136"/>
      </rPr>
      <t xml:space="preserve">   （a1）本縣</t>
    </r>
    <r>
      <rPr>
        <b/>
        <u/>
        <sz val="13"/>
        <color rgb="FF1F3864"/>
        <rFont val="標楷體"/>
        <family val="4"/>
        <charset val="136"/>
      </rPr>
      <t>114年度</t>
    </r>
    <r>
      <rPr>
        <sz val="13"/>
        <color rgb="FF000000"/>
        <rFont val="標楷體"/>
        <family val="4"/>
        <charset val="136"/>
      </rPr>
      <t>公益彩劵盈餘專戶利息為</t>
    </r>
  </si>
  <si>
    <r>
      <rPr>
        <sz val="14"/>
        <color rgb="FF000000"/>
        <rFont val="DFKai-SB"/>
        <family val="4"/>
        <charset val="136"/>
      </rPr>
      <t>（二）處理情形：</t>
    </r>
    <r>
      <rPr>
        <b/>
        <u/>
        <sz val="14"/>
        <color rgb="FFFF0000"/>
        <rFont val="標楷體"/>
        <family val="4"/>
        <charset val="136"/>
      </rPr>
      <t>存入專戶並配合年度預算執行</t>
    </r>
    <r>
      <rPr>
        <sz val="14"/>
        <color rgb="FF000000"/>
        <rFont val="標楷體"/>
        <family val="4"/>
        <charset val="136"/>
      </rPr>
      <t>。</t>
    </r>
  </si>
  <si>
    <r>
      <rPr>
        <sz val="14"/>
        <color rgb="FF000000"/>
        <rFont val="DFKai-SB"/>
        <family val="4"/>
        <charset val="136"/>
      </rPr>
      <t>五、本年度1月起至本季截止，累計公益彩券盈餘分配數為</t>
    </r>
    <r>
      <rPr>
        <b/>
        <sz val="14"/>
        <color rgb="FF000000"/>
        <rFont val="標楷體"/>
        <family val="4"/>
        <charset val="136"/>
      </rPr>
      <t xml:space="preserve">(b) </t>
    </r>
    <r>
      <rPr>
        <b/>
        <u/>
        <sz val="14"/>
        <color rgb="FF000000"/>
        <rFont val="標楷體"/>
        <family val="4"/>
        <charset val="136"/>
      </rPr>
      <t xml:space="preserve">                      </t>
    </r>
  </si>
  <si>
    <t>六、本年度公益彩券盈餘分配預算編列情形：</t>
  </si>
  <si>
    <t>（四）第2季季報表另檢附「公益彩券盈餘分配支用編列情形表」如後。(公益彩券盈餘分配支用編列情形表係揭露公益彩券運用計畫財源編列情形，至是否符合相關運用規範，仍以年度考核審認結果為準。)</t>
  </si>
  <si>
    <t>七、公益彩券盈餘分配之執行數：</t>
  </si>
  <si>
    <t>單位：新臺幣元</t>
  </si>
  <si>
    <t>項目</t>
  </si>
  <si>
    <t>本年度預算數</t>
  </si>
  <si>
    <t>第1季執行數</t>
  </si>
  <si>
    <t>第2季執行數</t>
  </si>
  <si>
    <t>第3季執行數</t>
  </si>
  <si>
    <t>第4季執行數</t>
  </si>
  <si>
    <t>執行率（%）</t>
  </si>
  <si>
    <t>（一）福利服務</t>
  </si>
  <si>
    <t>1.兒童及少年福利</t>
  </si>
  <si>
    <t>(1)辦理低收入戶暨弱勢兒童少年醫療補助</t>
  </si>
  <si>
    <t>(2)強化社會安全網-精進及擴充兒少家外安置資源：建立在地評估小組。</t>
  </si>
  <si>
    <t>(3)兒少保護親屬安置費用補助計畫。</t>
  </si>
  <si>
    <t>(4)補助辦理兒童及少年機構安置、家庭寄養及親職輔導服務。</t>
  </si>
  <si>
    <t>(5)辦理脆弱兒少及家庭社區支持服務方案(守護家庭小衛星)</t>
  </si>
  <si>
    <t>方案持續辦理中，陸續核銷。</t>
  </si>
  <si>
    <t>(6)辦理育兒指導服務方案。</t>
  </si>
  <si>
    <t>(7)辦理強化社會安全網-社會福利服務中心服務業務</t>
  </si>
  <si>
    <t>業務持續辦理中，陸續核銷。</t>
  </si>
  <si>
    <t>(8)補助辦理家庭支持服務資源布建方案計畫。</t>
  </si>
  <si>
    <t>(9)補助辦理兒少及家庭社區支持服務方案(守護家庭小衛星)</t>
  </si>
  <si>
    <t>(10)社會福利服務中心庶務維護費用(望安+兒少+西嶼)</t>
  </si>
  <si>
    <t>(11)辦理我國少子女化對策計畫</t>
  </si>
  <si>
    <t>(12)辦理發展遲緩兒童相關業務(社)</t>
  </si>
  <si>
    <t>(13)辦理居家托育服務中心暨定點臨托計畫(含資本門)</t>
  </si>
  <si>
    <t>(14)辦理弱勢兒童課後照顧服務</t>
  </si>
  <si>
    <t>(15)充實兒少福利中心圖書雜誌及兒少發展常態性活動</t>
  </si>
  <si>
    <t>(16)辦理兒少福利各項服務評鑑及輔導等相關費用。</t>
  </si>
  <si>
    <t>(17)辦理青少年福利各項服務活動費、青年培力活動費及兒少安置機構教育人員訓練</t>
  </si>
  <si>
    <t>(18)辦理弱勢兒少藝文休閒活動及親子活動。</t>
  </si>
  <si>
    <t>(19)辦理白沙西嶼社福中心室內兒童遊戲場修繕。(墊付轉正)</t>
  </si>
  <si>
    <t>(20)補助辦理托育資源中心計畫(含資本門)</t>
  </si>
  <si>
    <t>(21)補助辦理發展遲緩兒童社區療育家庭支持服務計畫。</t>
  </si>
  <si>
    <t>補助團體依實際支用情形核銷。</t>
  </si>
  <si>
    <t>(22)補助團體辦理社區托育服務方案費。</t>
  </si>
  <si>
    <t>(23)補助辦理弱勢少年自立生活方案。</t>
  </si>
  <si>
    <t>(24)辦理保母技術士考照交通住宿補助費。</t>
  </si>
  <si>
    <t>(25)辦理遲緩兒在地化早期療育計畫(衛)</t>
  </si>
  <si>
    <t>(26)約聘社會工作員辦理強化社會安全網-社會福利服務中心人事費(含交通費)</t>
  </si>
  <si>
    <t>(27)興建案山公共托嬰中心室內裝修工程費用(含設計、監造)。</t>
  </si>
  <si>
    <t>(28)社會福利服務中心充實設施設備及修繕費。</t>
  </si>
  <si>
    <t>(29)辦理發展遲緩兒童通報轉介暨個案管理中心服務計畫設施設備費。</t>
  </si>
  <si>
    <t>(30)補助辦理托育服務方案開辦及設施設備費、托育人員技術士輔導考照加強班設備費。</t>
  </si>
  <si>
    <t>補助團體依實際辦理情形核銷。</t>
  </si>
  <si>
    <t>(31)補助辦理發展遲緩兒童個管服務中心及社區療育據點計畫設施設備經費。</t>
  </si>
  <si>
    <t>(32)澎南及文光托嬰中心設施設備費</t>
  </si>
  <si>
    <t>(33)興建案山公共托嬰中心
(114年工程款)</t>
  </si>
  <si>
    <t>小計</t>
  </si>
  <si>
    <t>2.婦女福利</t>
  </si>
  <si>
    <t>(1)辦理婦女福利及性別平等業務</t>
  </si>
  <si>
    <t>(2)辦理新住民整合型社區服務據點、新住民家庭服務計畫及新住民社區參與</t>
  </si>
  <si>
    <t>(3)辦理婦女福利服務中心及性別友善等相關計畫。</t>
  </si>
  <si>
    <t>依實際情形辦理支用。</t>
  </si>
  <si>
    <t>(4)辦理婦女節慶相關活動</t>
  </si>
  <si>
    <t>(5)補助團體辦理婦女相關計畫配合款</t>
  </si>
  <si>
    <t>(6)補助團體辦理新住民整合型社區服務據點</t>
  </si>
  <si>
    <t>補助團體依實際辦理情形按季核銷。</t>
  </si>
  <si>
    <t>3.老人福利</t>
  </si>
  <si>
    <t>(1)辦理社區照顧關懷據點健康導入多元活動(含獎補助)</t>
  </si>
  <si>
    <t>(2)補助社區發展協會等團體辦理社區照顧關懷據點計畫。</t>
  </si>
  <si>
    <t>(3)辦理老人假牙行政事務費。</t>
  </si>
  <si>
    <t>(4)臨時人員2人辦理強化本縣整備長期照顧服務計畫。</t>
  </si>
  <si>
    <t>(5)委請個人從事獨居長者扶助餐食相關業務費</t>
  </si>
  <si>
    <t>(6)辦理本縣獨居老人緊急救援連線系統服務量能提升計畫</t>
  </si>
  <si>
    <t>(7)長青活動中心等公有建物消防火檢、公安檢查及設備修繕暨內部設施。</t>
  </si>
  <si>
    <t>(8)辦理老人生活狀況及福利需求調查。</t>
  </si>
  <si>
    <t>(9)補助辦理低收及中低收入獨居長者扶助餐食服務費</t>
  </si>
  <si>
    <t>(10)補助車船處辦理社會福利車廂廣告費。</t>
  </si>
  <si>
    <t>(11)補助辦理長青學苑、重陽節敬老系列活動及老人相關活動</t>
  </si>
  <si>
    <t>(12)補助辦理老人保護預防性關懷服務計畫。</t>
  </si>
  <si>
    <t>(13)補助辦理老人獨立倡導關懷實施計畫。</t>
  </si>
  <si>
    <t>(14)補助團體辦理強化獨居老人關懷服務計畫。</t>
  </si>
  <si>
    <t>(15)辦理中低收入失能老人機構公費安置及老人保護安置費、驗傷、體檢等補助</t>
  </si>
  <si>
    <t>(16)補助辦理社區照顧關懷據點充實設施設備經費。</t>
  </si>
  <si>
    <t>(17)充實本縣長青活動中心等公有建物設施設備修繕及充實辦公室設施設備費。</t>
  </si>
  <si>
    <t>(18)補助辦理長者營養餐食設施設費</t>
  </si>
  <si>
    <t>(19)享居社福養生園區興建工程費(115年工程款)</t>
  </si>
  <si>
    <t>(20)補助社會福利團體辦理澎湖縣享居長照園區實施計畫(開辦費)。</t>
  </si>
  <si>
    <t>4.身心障礙者福利</t>
  </si>
  <si>
    <t>(1)辦理身心障礙者日間照顧及住宿式照顧補助費</t>
  </si>
  <si>
    <t>115年依實際情形辦理支用。</t>
  </si>
  <si>
    <t>(2)辦理身心障礙者需求評估新制計畫(含人力2人、外聘督導計畫)</t>
  </si>
  <si>
    <t>(3)委託辦理身心障礙者緊急救援連線服務</t>
  </si>
  <si>
    <t>(4)委託辦理身心障礙者全日型照顧機構管理營運計畫</t>
  </si>
  <si>
    <t>(5)委託辦理輔具資源中心服務計畫</t>
  </si>
  <si>
    <t>(6)委託辦理身心障礙者復康巴士交通服務計畫</t>
  </si>
  <si>
    <t>(7)辦理身心障礙勵志館書籍影音購置、拍攝、軟體維護宣傳活動及各類表冊等</t>
  </si>
  <si>
    <t>(8)身心障礙福利資源發展暨社團輔導培力計畫</t>
  </si>
  <si>
    <t>(9)辦理家庭照顧者支持服務計畫。</t>
  </si>
  <si>
    <t>(10)辦理家庭照顧者支持性服務共融計畫。</t>
  </si>
  <si>
    <t>(11)辦理緊急照顧服務、照顧服務體驗及緊急救援服務及其他高照顧負荷家庭創新服務方案。</t>
  </si>
  <si>
    <t>(12)補助辦理視覺障礙者生活重建服務方案計畫</t>
  </si>
  <si>
    <t>(13)補助辦理身障各類服務人員在職訓練</t>
  </si>
  <si>
    <t>(14)補助辦理身心障礙者多元社區居住與生活服務計畫。</t>
  </si>
  <si>
    <t>(15)補助辦理精神障礙者協作模式服務據點計畫</t>
  </si>
  <si>
    <t>(16)補助辦理家庭托顧服務計畫</t>
  </si>
  <si>
    <t>(17)補助辦理身心障礙者自立生活支持計畫</t>
  </si>
  <si>
    <t>(18)補助辦理身心障礙個人照顧-社區日間作業設施計畫</t>
  </si>
  <si>
    <t>(19)補助辦理身心障礙者社區式日間照顧服務計畫。</t>
  </si>
  <si>
    <t>(20)辦理強化社會安全網-精神障礙者協作模式服務據點方案管理人事費(含交通費)</t>
  </si>
  <si>
    <t>(21)辦理身心障礙照顧服務資源布建計畫(含業務費+人事費)</t>
  </si>
  <si>
    <t>(22)辦理擴充社區式服務資源布建及多元化身心障礙者福利機構服務人力擴充。</t>
  </si>
  <si>
    <t>(24)辦理身障福利服務中心扶手等無障礙設施及冷氣等設備更新</t>
  </si>
  <si>
    <t>(25)辦理樂朋家園機構充實設施設備及修繕費</t>
  </si>
  <si>
    <t>(26)布建輔具服務資源及充實本縣輔具資源中心輔具設備</t>
  </si>
  <si>
    <t>(27)補助機構團體設施設備及空間無障礙修繕</t>
  </si>
  <si>
    <t>(28)補助身心障礙福利機構等單位建物整體修繕費用(含經常門)</t>
  </si>
  <si>
    <t>5.家庭暴力暨性侵害防治</t>
  </si>
  <si>
    <t>(1)辦理家事事件服務中心及家庭暴力相關服務計畫。</t>
  </si>
  <si>
    <t>(2)辦理社區防暴初級預防等相關培力及活動。</t>
  </si>
  <si>
    <t>(3)辦理強化社會安全網計畫行政事務費用</t>
  </si>
  <si>
    <t>依實際需求辦理支用。</t>
  </si>
  <si>
    <t>(4)新住民及其子女人身安全保護計畫。(含轉正)</t>
  </si>
  <si>
    <t>(5)辦理逆境少年及家庭支持服務方案計畫。</t>
  </si>
  <si>
    <t>(6)辦理推展社會福利服務家庭支持服務方案計畫。</t>
  </si>
  <si>
    <t>(7)補助辦理性別暴力防治宣導及紫絲帶認證社區獎勵案</t>
  </si>
  <si>
    <t>(9)家庭暴力暨性侵害加害人身心治療及輔導教育計畫。</t>
  </si>
  <si>
    <t>(10)辦理推動性騷擾防治方案業務費(人力+業務)</t>
  </si>
  <si>
    <t>(11)強化社會安全網計畫-優化保護服務輸送，提升風險控管保護(含交通費)</t>
  </si>
  <si>
    <t>(12)辦理強化社會安全網--性騷擾申訴案件人事費(含交通費)</t>
  </si>
  <si>
    <t>(13)辦理強化社會安全網--精進兒少家外安置人事費(含交通費)</t>
  </si>
  <si>
    <t>6.其他福利</t>
  </si>
  <si>
    <t>(1)補助非老非障服務對象安置及服務費用</t>
  </si>
  <si>
    <t>(2)赴台接替代役男交通住宿費及替代役男返鄉外勤、交通費、雜支及替代役男住宿費</t>
  </si>
  <si>
    <t>(3)社會福利資訊系統與高風險預警系統</t>
  </si>
  <si>
    <t>(4)辦理社工人員執業安全及支持協助方案</t>
  </si>
  <si>
    <t>(5)補助辦理推展多元社會福利方案實施計畫(含設施設備費)</t>
  </si>
  <si>
    <t>(6)臨時人員人協辦社會福利業務及長青活動中心管理員</t>
  </si>
  <si>
    <t>(7)辦理公益彩券盈餘推廣計畫</t>
  </si>
  <si>
    <t>(8)補助本縣各社福團體、機構辦理身障、老人、兒少、婦女、志願服務等各項福利服務活動</t>
  </si>
  <si>
    <t>(9)辦理社區再造培力中心計畫</t>
  </si>
  <si>
    <t>(10)補助辦理社區再造培力中心計畫。(含資本門)</t>
  </si>
  <si>
    <t>(11)推動社區發展工作辦理走動式績優社區觀摩實施計畫</t>
  </si>
  <si>
    <t>(12)補助各社區成果維護費及聯合社區相關活動費</t>
  </si>
  <si>
    <t>(13)補助大專院校辦理大專校院培力社區擴展服務創新實施計畫</t>
  </si>
  <si>
    <t>(14)辦理社區培力均衡區域發展實施計畫。</t>
  </si>
  <si>
    <t>(15)辦理社區發展相關業務</t>
  </si>
  <si>
    <t>(16)委託辦理志願服務推廣中心業務。</t>
  </si>
  <si>
    <t>(17)志願服務聯繫會報及志願服務運用單位績效考核評鑑</t>
  </si>
  <si>
    <t>(18)補助志願服務團體志工保險費、獎勵金</t>
  </si>
  <si>
    <t>(19)約聘(僱)人員辦理社會福利業務</t>
  </si>
  <si>
    <t>(20)辦理公益勸募研習訓練與宣導</t>
  </si>
  <si>
    <t>(21)各福利方案購置充實設施設備及修繕費。</t>
  </si>
  <si>
    <t>（二）社會救助</t>
  </si>
  <si>
    <t>(1)低收入戶家庭生活補助</t>
  </si>
  <si>
    <r>
      <rPr>
        <sz val="10"/>
        <color theme="1"/>
        <rFont val="DFKai-SB"/>
        <family val="4"/>
        <charset val="136"/>
      </rPr>
      <t xml:space="preserve">(2)辦理民眾急難救助
</t>
    </r>
    <r>
      <rPr>
        <b/>
        <sz val="10"/>
        <color theme="1"/>
        <rFont val="標楷體"/>
        <family val="4"/>
        <charset val="136"/>
      </rPr>
      <t>(含川資救助)</t>
    </r>
  </si>
  <si>
    <t>(3)社會救助複查</t>
  </si>
  <si>
    <t>(4)低收入戶產婦生育補助</t>
  </si>
  <si>
    <t>(5)社會救助業務訓練費用及雜支</t>
  </si>
  <si>
    <t>(6)辦理家庭自立脫貧計畫</t>
  </si>
  <si>
    <t>（三）社會保險</t>
  </si>
  <si>
    <t>無</t>
  </si>
  <si>
    <t>（四）國民就業</t>
  </si>
  <si>
    <t>辦理就業平等業務及諮詢服務中心等費用</t>
  </si>
  <si>
    <t>（五）醫療保健</t>
  </si>
  <si>
    <t>本縣民眾醫療照護交通補助費</t>
  </si>
  <si>
    <t>千元整數</t>
  </si>
  <si>
    <t>合        計</t>
  </si>
  <si>
    <t>填表說明：1.「福利類別及項目」，得視當季實際執行情形酌予增減或修正。</t>
  </si>
  <si>
    <t>(C)↑</t>
  </si>
  <si>
    <t xml:space="preserve">          2.歲出預算社會福利科目金額係指總預算歲出政事別預算總表中，社會福利支出科目預算數。</t>
  </si>
  <si>
    <r>
      <rPr>
        <sz val="12"/>
        <color rgb="FFFF0000"/>
        <rFont val="DFKai-SB"/>
        <family val="4"/>
        <charset val="136"/>
      </rPr>
      <t xml:space="preserve">          3.</t>
    </r>
    <r>
      <rPr>
        <b/>
        <sz val="12"/>
        <color rgb="FFFF0000"/>
        <rFont val="標楷體"/>
        <family val="4"/>
        <charset val="136"/>
      </rPr>
      <t>累計執行數包含以前年度保留款於本年度實際執行數，本年度預算保留款不予計入。</t>
    </r>
  </si>
  <si>
    <r>
      <rPr>
        <sz val="12"/>
        <color rgb="FFFF0000"/>
        <rFont val="DFKai-SB"/>
        <family val="4"/>
        <charset val="136"/>
      </rPr>
      <t xml:space="preserve">          4.請說明計畫執行率不佳原因，</t>
    </r>
    <r>
      <rPr>
        <b/>
        <sz val="12"/>
        <color rgb="FFFF0000"/>
        <rFont val="標楷體"/>
        <family val="4"/>
        <charset val="136"/>
      </rPr>
      <t>第4季季報表請併同說明本年度預算保留至以後年度執行之情形</t>
    </r>
    <r>
      <rPr>
        <sz val="12"/>
        <color rgb="FFFF0000"/>
        <rFont val="標楷體"/>
        <family val="4"/>
        <charset val="136"/>
      </rPr>
      <t>。</t>
    </r>
  </si>
  <si>
    <t>八、本年度1月起至本季截止公益彩券盈餘分配剩餘情形：</t>
  </si>
  <si>
    <r>
      <rPr>
        <sz val="14"/>
        <color rgb="FF000000"/>
        <rFont val="DFKai-SB"/>
        <family val="4"/>
        <charset val="136"/>
      </rPr>
      <t>（一）本年度1月起至本季截止，累計公益彩券盈餘分配待運用數(f)=(a)+(b)-(C）</t>
    </r>
    <r>
      <rPr>
        <u/>
        <sz val="14"/>
        <color rgb="FF000000"/>
        <rFont val="標楷體"/>
        <family val="4"/>
        <charset val="136"/>
      </rPr>
      <t xml:space="preserve">                   </t>
    </r>
  </si>
  <si>
    <t xml:space="preserve">       另本年度保留款金額合計　　　　</t>
  </si>
  <si>
    <t>元（第4季季報表須填列）。</t>
  </si>
  <si>
    <t>（二）尚未執行之原因：部分計畫人力異動頻繁無全年度進用致經費無支用，另新建案尚在更變設計故無法順利估驗撥款。</t>
  </si>
  <si>
    <r>
      <rPr>
        <sz val="14"/>
        <color rgb="FF000000"/>
        <rFont val="DFKai-SB"/>
        <family val="4"/>
        <charset val="136"/>
      </rPr>
      <t>九、公益彩券盈餘預算經費動支及核銷預估情形： （第4季</t>
    </r>
    <r>
      <rPr>
        <sz val="14"/>
        <color rgb="FFFF0000"/>
        <rFont val="標楷體"/>
        <family val="4"/>
        <charset val="136"/>
      </rPr>
      <t>季</t>
    </r>
    <r>
      <rPr>
        <sz val="14"/>
        <color rgb="FF000000"/>
        <rFont val="標楷體"/>
        <family val="4"/>
        <charset val="136"/>
      </rPr>
      <t xml:space="preserve">報表本欄免填）                                  </t>
    </r>
  </si>
  <si>
    <t>承辦人員簽章：</t>
  </si>
  <si>
    <t>業務單位</t>
  </si>
  <si>
    <t>聯絡電話：</t>
  </si>
  <si>
    <t>主管簽章：</t>
  </si>
  <si>
    <t>填表日期：</t>
  </si>
  <si>
    <t>會計單位</t>
  </si>
  <si>
    <t>機關主管</t>
  </si>
  <si>
    <t>簽    章：</t>
  </si>
  <si>
    <t>備註：簽章欄得由各該直轄巿、縣巿政府視業務劃分，自行調整。</t>
  </si>
  <si>
    <t>辦理完畢。</t>
    <phoneticPr fontId="46" type="noConversion"/>
  </si>
  <si>
    <t>備註</t>
    <phoneticPr fontId="46" type="noConversion"/>
  </si>
  <si>
    <t>辦理完畢。</t>
    <phoneticPr fontId="46" type="noConversion"/>
  </si>
  <si>
    <t>方案持續辦理中，陸續核銷。</t>
    <phoneticPr fontId="46" type="noConversion"/>
  </si>
  <si>
    <t>按季核銷，持續執行中。</t>
    <phoneticPr fontId="46" type="noConversion"/>
  </si>
  <si>
    <t>依實際辦理情形核銷。</t>
    <phoneticPr fontId="46" type="noConversion"/>
  </si>
  <si>
    <t>依實際需求支用。</t>
    <phoneticPr fontId="46" type="noConversion"/>
  </si>
  <si>
    <t>已完成委外，預計於年底計畫完成後核撥。</t>
    <phoneticPr fontId="46" type="noConversion"/>
  </si>
  <si>
    <t>縣款先行撥付。</t>
    <phoneticPr fontId="46" type="noConversion"/>
  </si>
  <si>
    <t>因人員異動，部分月份薪資無使用。</t>
    <phoneticPr fontId="46" type="noConversion"/>
  </si>
  <si>
    <t>持續辦理中。</t>
    <phoneticPr fontId="46" type="noConversion"/>
  </si>
  <si>
    <t>依個案實際需求撥付。</t>
    <phoneticPr fontId="46" type="noConversion"/>
  </si>
  <si>
    <t>持續辦理中，按季核銷。</t>
    <phoneticPr fontId="46" type="noConversion"/>
  </si>
  <si>
    <t>持續辦理中。</t>
    <phoneticPr fontId="46" type="noConversion"/>
  </si>
  <si>
    <t>無申請案件。</t>
    <phoneticPr fontId="46" type="noConversion"/>
  </si>
  <si>
    <t>業務持續辦理中，陸續核銷。</t>
    <phoneticPr fontId="46" type="noConversion"/>
  </si>
  <si>
    <t>持續辦理中，依估驗進度撥付。</t>
    <phoneticPr fontId="46" type="noConversion"/>
  </si>
  <si>
    <t>持續辦理中，依估驗進度撥付。</t>
    <phoneticPr fontId="46" type="noConversion"/>
  </si>
  <si>
    <t>業務續予執行，陸續核銷中。</t>
    <phoneticPr fontId="46" type="noConversion"/>
  </si>
  <si>
    <t>依個案需求支用。</t>
    <phoneticPr fontId="46" type="noConversion"/>
  </si>
  <si>
    <t>持續辦理中。</t>
    <phoneticPr fontId="46" type="noConversion"/>
  </si>
  <si>
    <t>依團體申請情形撥付。</t>
    <phoneticPr fontId="46" type="noConversion"/>
  </si>
  <si>
    <t>於第4季辦理。</t>
    <phoneticPr fontId="46" type="noConversion"/>
  </si>
  <si>
    <t>依個案需求撥付。</t>
    <phoneticPr fontId="46" type="noConversion"/>
  </si>
  <si>
    <t>持續辦理中，依個案需求撥付。</t>
    <phoneticPr fontId="46" type="noConversion"/>
  </si>
  <si>
    <t>持續辦理中，按季核銷。</t>
    <phoneticPr fontId="46" type="noConversion"/>
  </si>
  <si>
    <t>規劃辦理中。</t>
    <phoneticPr fontId="46" type="noConversion"/>
  </si>
  <si>
    <t>依實際需求辦理。</t>
    <phoneticPr fontId="46" type="noConversion"/>
  </si>
  <si>
    <t>依實際需求購置。</t>
    <phoneticPr fontId="46" type="noConversion"/>
  </si>
  <si>
    <t>部分計畫已補助執行，餘規劃辦理中。</t>
    <phoneticPr fontId="46" type="noConversion"/>
  </si>
  <si>
    <t>依估驗期程撥付。</t>
    <phoneticPr fontId="46" type="noConversion"/>
  </si>
  <si>
    <t>單位辦理中，依實際情形核銷。</t>
    <phoneticPr fontId="46" type="noConversion"/>
  </si>
  <si>
    <t>補助團體依實際辦理情形核銷。</t>
    <phoneticPr fontId="46" type="noConversion"/>
  </si>
  <si>
    <t>業務持續辦理中，陸續核銷。</t>
    <phoneticPr fontId="46" type="noConversion"/>
  </si>
  <si>
    <r>
      <t>中華民國</t>
    </r>
    <r>
      <rPr>
        <b/>
        <sz val="14"/>
        <color rgb="FFFF0000"/>
        <rFont val="標楷體"/>
        <family val="4"/>
        <charset val="136"/>
      </rPr>
      <t>115</t>
    </r>
    <r>
      <rPr>
        <b/>
        <sz val="14"/>
        <color rgb="FF000000"/>
        <rFont val="標楷體"/>
        <family val="4"/>
        <charset val="136"/>
      </rPr>
      <t>年</t>
    </r>
    <r>
      <rPr>
        <b/>
        <sz val="14"/>
        <color rgb="FFFF0000"/>
        <rFont val="標楷體"/>
        <family val="4"/>
        <charset val="136"/>
      </rPr>
      <t>7</t>
    </r>
    <r>
      <rPr>
        <b/>
        <sz val="14"/>
        <color rgb="FF000000"/>
        <rFont val="標楷體"/>
        <family val="4"/>
        <charset val="136"/>
      </rPr>
      <t>月份至</t>
    </r>
    <r>
      <rPr>
        <b/>
        <sz val="14"/>
        <color rgb="FFFF0000"/>
        <rFont val="標楷體"/>
        <family val="4"/>
        <charset val="136"/>
      </rPr>
      <t>9</t>
    </r>
    <r>
      <rPr>
        <b/>
        <sz val="14"/>
        <color rgb="FF000000"/>
        <rFont val="標楷體"/>
        <family val="4"/>
        <charset val="136"/>
      </rPr>
      <t>月份（</t>
    </r>
    <r>
      <rPr>
        <b/>
        <sz val="14"/>
        <color rgb="FFFF0000"/>
        <rFont val="標楷體"/>
        <family val="4"/>
        <charset val="136"/>
      </rPr>
      <t>115</t>
    </r>
    <r>
      <rPr>
        <b/>
        <sz val="14"/>
        <color rgb="FF000000"/>
        <rFont val="標楷體"/>
        <family val="4"/>
        <charset val="136"/>
      </rPr>
      <t>年度第</t>
    </r>
    <r>
      <rPr>
        <b/>
        <sz val="14"/>
        <color rgb="FFFF0000"/>
        <rFont val="標楷體"/>
        <family val="4"/>
        <charset val="136"/>
      </rPr>
      <t>3</t>
    </r>
    <r>
      <rPr>
        <b/>
        <sz val="14"/>
        <color rgb="FF000000"/>
        <rFont val="標楷體"/>
        <family val="4"/>
        <charset val="136"/>
      </rPr>
      <t>季）</t>
    </r>
    <phoneticPr fontId="46" type="noConversion"/>
  </si>
  <si>
    <t>預計於年底核銷。</t>
    <phoneticPr fontId="46" type="noConversion"/>
  </si>
  <si>
    <t>持續辦理中。</t>
    <phoneticPr fontId="46" type="noConversion"/>
  </si>
  <si>
    <r>
      <t xml:space="preserve">（一）歲入預算來源原編 </t>
    </r>
    <r>
      <rPr>
        <b/>
        <u/>
        <sz val="13"/>
        <color rgb="FFFF0000"/>
        <rFont val="標楷體"/>
        <family val="4"/>
        <charset val="136"/>
      </rPr>
      <t>265,426,626</t>
    </r>
    <r>
      <rPr>
        <sz val="13"/>
        <color theme="1"/>
        <rFont val="標楷體"/>
        <family val="4"/>
        <charset val="136"/>
      </rPr>
      <t>元，追減</t>
    </r>
    <r>
      <rPr>
        <b/>
        <u/>
        <sz val="13"/>
        <color rgb="FFFF0000"/>
        <rFont val="標楷體"/>
        <family val="4"/>
        <charset val="136"/>
      </rPr>
      <t>9,546,403</t>
    </r>
    <r>
      <rPr>
        <sz val="13"/>
        <color theme="1"/>
        <rFont val="標楷體"/>
        <family val="4"/>
        <charset val="136"/>
      </rPr>
      <t>元，合計</t>
    </r>
    <r>
      <rPr>
        <b/>
        <u/>
        <sz val="13"/>
        <color rgb="FF2F5496"/>
        <rFont val="標楷體"/>
        <family val="4"/>
        <charset val="136"/>
      </rPr>
      <t>255,880,223</t>
    </r>
    <r>
      <rPr>
        <sz val="13"/>
        <color theme="1"/>
        <rFont val="標楷體"/>
        <family val="4"/>
        <charset val="136"/>
      </rPr>
      <t>元。</t>
    </r>
    <phoneticPr fontId="46" type="noConversion"/>
  </si>
  <si>
    <r>
      <t xml:space="preserve">（二）歲出預算用途原編 </t>
    </r>
    <r>
      <rPr>
        <b/>
        <u/>
        <sz val="13"/>
        <color rgb="FFFF0000"/>
        <rFont val="標楷體"/>
        <family val="4"/>
        <charset val="136"/>
      </rPr>
      <t>265,426,626</t>
    </r>
    <r>
      <rPr>
        <sz val="13"/>
        <rFont val="標楷體"/>
        <family val="4"/>
        <charset val="136"/>
      </rPr>
      <t>元，追減</t>
    </r>
    <r>
      <rPr>
        <b/>
        <u/>
        <sz val="13"/>
        <color rgb="FFFF0000"/>
        <rFont val="標楷體"/>
        <family val="4"/>
        <charset val="136"/>
      </rPr>
      <t>9,546,403</t>
    </r>
    <r>
      <rPr>
        <sz val="13"/>
        <rFont val="標楷體"/>
        <family val="4"/>
        <charset val="136"/>
      </rPr>
      <t>元，</t>
    </r>
    <r>
      <rPr>
        <sz val="13"/>
        <color theme="1"/>
        <rFont val="標楷體"/>
        <family val="4"/>
        <charset val="136"/>
      </rPr>
      <t>合計</t>
    </r>
    <r>
      <rPr>
        <b/>
        <u/>
        <sz val="13"/>
        <color rgb="FF2F5496"/>
        <rFont val="標楷體"/>
        <family val="4"/>
        <charset val="136"/>
      </rPr>
      <t>255,880,223</t>
    </r>
    <r>
      <rPr>
        <u/>
        <sz val="13"/>
        <color rgb="FF262626"/>
        <rFont val="標楷體"/>
        <family val="4"/>
        <charset val="136"/>
      </rPr>
      <t>元。</t>
    </r>
    <r>
      <rPr>
        <sz val="13"/>
        <color theme="1"/>
        <rFont val="標楷體"/>
        <family val="4"/>
        <charset val="136"/>
      </rPr>
      <t xml:space="preserve">
     </t>
    </r>
    <r>
      <rPr>
        <b/>
        <u/>
        <sz val="13"/>
        <color rgb="FFFF0000"/>
        <rFont val="標楷體"/>
        <family val="4"/>
        <charset val="136"/>
      </rPr>
      <t xml:space="preserve"> 以前年度保留款13,622,099元。</t>
    </r>
    <phoneticPr fontId="46" type="noConversion"/>
  </si>
  <si>
    <r>
      <t xml:space="preserve">本年度1月起至本季截止累計執行數
</t>
    </r>
    <r>
      <rPr>
        <sz val="11"/>
        <color rgb="FFFF0000"/>
        <rFont val="標楷體"/>
        <family val="4"/>
        <charset val="136"/>
      </rPr>
      <t>（詳填表說明3）</t>
    </r>
    <phoneticPr fontId="46" type="noConversion"/>
  </si>
  <si>
    <t>以前年度
保留數</t>
    <phoneticPr fontId="46" type="noConversion"/>
  </si>
  <si>
    <t>（一）本年度1月起至本季截止，已發包或已簽約經費123,000,000元，預計於次季執行經費110,700,000元。</t>
    <phoneticPr fontId="46" type="noConversion"/>
  </si>
  <si>
    <t>（二）預計於次季核銷經費256,027,206元，預估累計至次季止執行率95%。</t>
    <phoneticPr fontId="46" type="noConversion"/>
  </si>
  <si>
    <t>勻出1萬元至1.(29)。</t>
    <phoneticPr fontId="46" type="noConversion"/>
  </si>
  <si>
    <t>勻出20萬元至1.(15)。</t>
    <phoneticPr fontId="46" type="noConversion"/>
  </si>
  <si>
    <t>由1.(18)勻入20萬元。</t>
    <phoneticPr fontId="46" type="noConversion"/>
  </si>
  <si>
    <t>由1.(13)勻入1萬元</t>
    <phoneticPr fontId="46" type="noConversion"/>
  </si>
  <si>
    <t xml:space="preserve">辦理完畢。 </t>
    <phoneticPr fontId="46" type="noConversion"/>
  </si>
  <si>
    <t>持續辦理中。</t>
    <phoneticPr fontId="46" type="noConversion"/>
  </si>
  <si>
    <r>
      <t>三、本年度第</t>
    </r>
    <r>
      <rPr>
        <sz val="14"/>
        <color rgb="FFFF0000"/>
        <rFont val="DFKai-SB"/>
        <family val="4"/>
        <charset val="136"/>
      </rPr>
      <t>3</t>
    </r>
    <r>
      <rPr>
        <sz val="14"/>
        <color rgb="FF000000"/>
        <rFont val="標楷體"/>
        <family val="4"/>
        <charset val="136"/>
      </rPr>
      <t>季，彩券盈餘分配數為</t>
    </r>
    <phoneticPr fontId="46" type="noConversion"/>
  </si>
  <si>
    <t>(22)專案社工員辦理公益彩券基金計畫預算編列，經費執行審核及績效考核工作。</t>
    <phoneticPr fontId="46" type="noConversion"/>
  </si>
  <si>
    <t>董宜瑄</t>
    <phoneticPr fontId="46" type="noConversion"/>
  </si>
  <si>
    <r>
      <t>（三）收支併列：總預算歲出預算社會福利科目金額</t>
    </r>
    <r>
      <rPr>
        <b/>
        <u/>
        <sz val="14"/>
        <color rgb="FF2F5496"/>
        <rFont val="標楷體"/>
        <family val="4"/>
        <charset val="136"/>
      </rPr>
      <t>(d)2,040,890,000元</t>
    </r>
    <r>
      <rPr>
        <sz val="14"/>
        <color rgb="FF000000"/>
        <rFont val="標楷體"/>
        <family val="4"/>
        <charset val="136"/>
      </rPr>
      <t>，運用公益彩券盈餘占歲出預算社會福利財源比率</t>
    </r>
    <r>
      <rPr>
        <b/>
        <u/>
        <sz val="14"/>
        <color rgb="FF2F5496"/>
        <rFont val="標楷體"/>
        <family val="4"/>
        <charset val="136"/>
      </rPr>
      <t>(c)/(d)12.54%。</t>
    </r>
    <phoneticPr fontId="46" type="noConversion"/>
  </si>
  <si>
    <t>115.10.14</t>
    <phoneticPr fontId="46" type="noConversion"/>
  </si>
  <si>
    <t>持續辦理中。</t>
    <phoneticPr fontId="46" type="noConversion"/>
  </si>
  <si>
    <t>依實際情形辦理支用。</t>
    <phoneticPr fontId="46" type="noConversion"/>
  </si>
  <si>
    <t xml:space="preserve"> </t>
    <phoneticPr fontId="46" type="noConversion"/>
  </si>
  <si>
    <t>1.由6.(1)勻入40萬元。
2.原編列45萬元，追加20萬元。</t>
    <phoneticPr fontId="46" type="noConversion"/>
  </si>
  <si>
    <t>1.原編列2,666萬9,043元，追減555萬7,758元。
2.業務持續辦理中，陸續核銷。</t>
    <phoneticPr fontId="46" type="noConversion"/>
  </si>
  <si>
    <t>1.原編列523萬1,333元，追減11萬7,480元
2.業務持續辦理中，陸續核銷。</t>
    <phoneticPr fontId="46" type="noConversion"/>
  </si>
  <si>
    <t>1.原編列431萬4,586元，追減22萬8,008元。
2.業務持續辦理中，陸續核銷。</t>
    <phoneticPr fontId="46" type="noConversion"/>
  </si>
  <si>
    <t>1.原編列390萬元，追減150萬元。
2.補助團體依實際辦理情形核銷。</t>
    <phoneticPr fontId="46" type="noConversion"/>
  </si>
  <si>
    <t>1.原編列126萬元，追減72萬元。
2.預計於年底核銷。</t>
    <phoneticPr fontId="46" type="noConversion"/>
  </si>
  <si>
    <t>1.原編列61萬元，追加14萬2,000元。
2.按季核銷。</t>
    <phoneticPr fontId="46" type="noConversion"/>
  </si>
  <si>
    <t>1.原編列82萬8,000元，追加2萬2,000元。
2.持續辦理中，依單位送核日期。</t>
    <phoneticPr fontId="46" type="noConversion"/>
  </si>
  <si>
    <t>1.原編列193萬8,724元，追減2萬7,000元。
2.持續辦理中。</t>
    <phoneticPr fontId="46" type="noConversion"/>
  </si>
  <si>
    <t>1.原編列219萬2,000元，追減50萬7,000元。
2.業務續予執行，陸續核銷中。</t>
    <phoneticPr fontId="46" type="noConversion"/>
  </si>
  <si>
    <t>1.原編列254萬4,944元，追減8萬8,110元。
2.持續辦理中。</t>
    <phoneticPr fontId="46" type="noConversion"/>
  </si>
  <si>
    <t>1.原編列31萬3,000元，追減6萬6,000元。
2.持續辦理中，陸續核銷。</t>
    <phoneticPr fontId="46" type="noConversion"/>
  </si>
  <si>
    <t>1.原編列282萬4,281元，追減21萬7,157元。
2.持續辦理中。</t>
    <phoneticPr fontId="46" type="noConversion"/>
  </si>
  <si>
    <t>1.原編列43萬5,211元，追加659元。
2.持續辦理中。</t>
    <phoneticPr fontId="46" type="noConversion"/>
  </si>
  <si>
    <t>1.原編列17萬8,161元，追減3,168元。
2.持續辦理中。</t>
    <phoneticPr fontId="46" type="noConversion"/>
  </si>
  <si>
    <t>補助團體預計於第4季核銷。</t>
    <phoneticPr fontId="46" type="noConversion"/>
  </si>
  <si>
    <t>1.勻出40萬元至1.(1)。
2.原編列188萬4,960元，追減85萬8,960元。
3.尚無申請案件。</t>
    <phoneticPr fontId="46" type="noConversion"/>
  </si>
  <si>
    <t>1.原編列424萬1,244元，追減37萬2,048元
2.持續辦理中。</t>
    <phoneticPr fontId="46" type="noConversion"/>
  </si>
  <si>
    <t>1.追加科目，經費共34萬9,542元。
2.持續辦理中。</t>
    <phoneticPr fontId="46" type="noConversion"/>
  </si>
  <si>
    <t>俟單位購置完成後核銷。</t>
    <phoneticPr fontId="46" type="noConversion"/>
  </si>
  <si>
    <t>(8)補助團辦理保護性被害人服務相關計畫</t>
    <phoneticPr fontId="46" type="noConversion"/>
  </si>
  <si>
    <t>持續辦理中，預計於第四季核銷。</t>
    <phoneticPr fontId="46" type="noConversion"/>
  </si>
  <si>
    <t>受補助團體尚未辦理核銷。</t>
    <phoneticPr fontId="46" type="noConversion"/>
  </si>
  <si>
    <t>已於第3季核銷。</t>
    <phoneticPr fontId="46" type="noConversion"/>
  </si>
  <si>
    <t>預計於第四季核銷。</t>
    <phoneticPr fontId="46" type="noConversion"/>
  </si>
  <si>
    <t>於年底核銷。</t>
    <phoneticPr fontId="46" type="noConversion"/>
  </si>
  <si>
    <t>尚無申請案件。</t>
    <phoneticPr fontId="46" type="noConversion"/>
  </si>
  <si>
    <t>尚未辦理核銷。</t>
    <phoneticPr fontId="46" type="noConversion"/>
  </si>
  <si>
    <t>115年7月進行圍牆、地磚、天花板等修繕工程支出48萬3,000元。</t>
    <phoneticPr fontId="46" type="noConversion"/>
  </si>
  <si>
    <t>1.專案管理文件發包簽核中。
2.業務持續辦理中。</t>
    <phoneticPr fontId="46" type="noConversion"/>
  </si>
  <si>
    <t>1.專案管理文件發包簽核中。
2.業務持續辦理中。</t>
    <phoneticPr fontId="4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</si>
</sst>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76" formatCode="#,##0_);[Red]\(#,##0\)"/>
    <numFmt numFmtId="177" formatCode="#,##0_ "/>
    <numFmt numFmtId="178" formatCode="#,##0.00_);[Red]\(#,##0.00\)"/>
    <numFmt numFmtId="179" formatCode="_-* #,##0_-;\-* #,##0_-;_-* &quot;-&quot;??_-;_-@_-"/>
  </numFmts>
  <fonts count="58">
    <font>
      <sz val="12"/>
      <color rgb="FF000000"/>
      <name val="Calibri"/>
      <scheme val="minor"/>
    </font>
    <font>
      <sz val="12"/>
      <color rgb="FF000000"/>
      <name val="PMingLiu"/>
      <family val="1"/>
      <charset val="136"/>
    </font>
    <font>
      <b/>
      <u/>
      <sz val="16"/>
      <color rgb="FF000000"/>
      <name val="DFKai-SB"/>
      <family val="4"/>
      <charset val="136"/>
    </font>
    <font>
      <b/>
      <sz val="18"/>
      <color rgb="FF000000"/>
      <name val="DFKai-SB"/>
      <family val="4"/>
      <charset val="136"/>
    </font>
    <font>
      <b/>
      <sz val="14"/>
      <color rgb="FF000000"/>
      <name val="DFKai-SB"/>
      <family val="4"/>
      <charset val="136"/>
    </font>
    <font>
      <sz val="14"/>
      <color rgb="FF000000"/>
      <name val="DFKai-SB"/>
      <family val="4"/>
      <charset val="136"/>
    </font>
    <font>
      <sz val="12"/>
      <color rgb="FF000000"/>
      <name val="DFKai-SB"/>
      <family val="4"/>
      <charset val="136"/>
    </font>
    <font>
      <b/>
      <u/>
      <sz val="14"/>
      <color rgb="FFFF0000"/>
      <name val="DFKai-SB"/>
      <family val="4"/>
      <charset val="136"/>
    </font>
    <font>
      <sz val="13"/>
      <color theme="1"/>
      <name val="DFKai-SB"/>
      <family val="4"/>
      <charset val="136"/>
    </font>
    <font>
      <sz val="13"/>
      <color rgb="FF000000"/>
      <name val="DFKai-SB"/>
      <family val="4"/>
      <charset val="136"/>
    </font>
    <font>
      <b/>
      <u/>
      <sz val="14"/>
      <color rgb="FFFF0000"/>
      <name val="DFKai-SB"/>
      <family val="4"/>
      <charset val="136"/>
    </font>
    <font>
      <u/>
      <sz val="13"/>
      <color rgb="FFFF0000"/>
      <name val="DFKai-SB"/>
      <family val="4"/>
      <charset val="136"/>
    </font>
    <font>
      <b/>
      <sz val="12"/>
      <color rgb="FF000000"/>
      <name val="DFKai-SB"/>
      <family val="4"/>
      <charset val="136"/>
    </font>
    <font>
      <sz val="12"/>
      <name val="Calibri"/>
      <family val="2"/>
    </font>
    <font>
      <sz val="12"/>
      <color rgb="FFFF0000"/>
      <name val="DFKai-SB"/>
      <family val="4"/>
      <charset val="136"/>
    </font>
    <font>
      <sz val="11"/>
      <color rgb="FF000000"/>
      <name val="DFKai-SB"/>
      <family val="4"/>
      <charset val="136"/>
    </font>
    <font>
      <sz val="10"/>
      <color rgb="FF000000"/>
      <name val="DFKai-SB"/>
      <family val="4"/>
      <charset val="136"/>
    </font>
    <font>
      <sz val="10"/>
      <color theme="1"/>
      <name val="DFKai-SB"/>
      <family val="4"/>
      <charset val="136"/>
    </font>
    <font>
      <sz val="12"/>
      <color theme="1"/>
      <name val="Times New Roman"/>
      <family val="1"/>
    </font>
    <font>
      <b/>
      <u/>
      <sz val="12"/>
      <color theme="1"/>
      <name val="Times New Roman"/>
      <family val="1"/>
    </font>
    <font>
      <u/>
      <sz val="12"/>
      <color theme="1"/>
      <name val="Times New Roman"/>
      <family val="1"/>
    </font>
    <font>
      <b/>
      <u/>
      <sz val="12"/>
      <color theme="1"/>
      <name val="Times New Roman"/>
      <family val="1"/>
    </font>
    <font>
      <sz val="14"/>
      <color rgb="FF000000"/>
      <name val="PMingLiu"/>
      <family val="1"/>
      <charset val="136"/>
    </font>
    <font>
      <b/>
      <sz val="12"/>
      <color theme="1"/>
      <name val="Times New Roman"/>
      <family val="1"/>
    </font>
    <font>
      <u/>
      <sz val="12"/>
      <color theme="1"/>
      <name val="Times New Roman"/>
      <family val="1"/>
    </font>
    <font>
      <b/>
      <u/>
      <sz val="12"/>
      <color theme="1"/>
      <name val="Times New Roman"/>
      <family val="1"/>
    </font>
    <font>
      <b/>
      <sz val="11"/>
      <color rgb="FF000000"/>
      <name val="DFKai-SB"/>
      <family val="4"/>
      <charset val="136"/>
    </font>
    <font>
      <b/>
      <u/>
      <sz val="12"/>
      <color rgb="FFFF0000"/>
      <name val="PMingLiu"/>
      <family val="1"/>
      <charset val="136"/>
    </font>
    <font>
      <sz val="12"/>
      <color rgb="FF000000"/>
      <name val="Times New Roman"/>
      <family val="1"/>
    </font>
    <font>
      <b/>
      <sz val="14"/>
      <color rgb="FFFF0000"/>
      <name val="標楷體"/>
      <family val="4"/>
      <charset val="136"/>
    </font>
    <font>
      <b/>
      <sz val="14"/>
      <color rgb="FF000000"/>
      <name val="標楷體"/>
      <family val="4"/>
      <charset val="136"/>
    </font>
    <font>
      <u/>
      <sz val="14"/>
      <color rgb="FF000000"/>
      <name val="標楷體"/>
      <family val="4"/>
      <charset val="136"/>
    </font>
    <font>
      <sz val="14"/>
      <color rgb="FF000000"/>
      <name val="標楷體"/>
      <family val="4"/>
      <charset val="136"/>
    </font>
    <font>
      <sz val="14"/>
      <color rgb="FFFF0000"/>
      <name val="標楷體"/>
      <family val="4"/>
      <charset val="136"/>
    </font>
    <font>
      <b/>
      <u/>
      <sz val="14"/>
      <color rgb="FF000000"/>
      <name val="標楷體"/>
      <family val="4"/>
      <charset val="136"/>
    </font>
    <font>
      <b/>
      <u/>
      <sz val="13"/>
      <color rgb="FF1F3864"/>
      <name val="標楷體"/>
      <family val="4"/>
      <charset val="136"/>
    </font>
    <font>
      <sz val="13"/>
      <color rgb="FF000000"/>
      <name val="標楷體"/>
      <family val="4"/>
      <charset val="136"/>
    </font>
    <font>
      <b/>
      <u/>
      <sz val="14"/>
      <color rgb="FFFF0000"/>
      <name val="標楷體"/>
      <family val="4"/>
      <charset val="136"/>
    </font>
    <font>
      <b/>
      <u/>
      <sz val="13"/>
      <color rgb="FFFF0000"/>
      <name val="標楷體"/>
      <family val="4"/>
      <charset val="136"/>
    </font>
    <font>
      <sz val="13"/>
      <color theme="1"/>
      <name val="標楷體"/>
      <family val="4"/>
      <charset val="136"/>
    </font>
    <font>
      <b/>
      <u/>
      <sz val="13"/>
      <color rgb="FF2F5496"/>
      <name val="標楷體"/>
      <family val="4"/>
      <charset val="136"/>
    </font>
    <font>
      <b/>
      <u/>
      <sz val="14"/>
      <color rgb="FF2F5496"/>
      <name val="標楷體"/>
      <family val="4"/>
      <charset val="136"/>
    </font>
    <font>
      <sz val="11"/>
      <color rgb="FFFF0000"/>
      <name val="標楷體"/>
      <family val="4"/>
      <charset val="136"/>
    </font>
    <font>
      <b/>
      <sz val="10"/>
      <color theme="1"/>
      <name val="標楷體"/>
      <family val="4"/>
      <charset val="136"/>
    </font>
    <font>
      <b/>
      <sz val="12"/>
      <color rgb="FFFF0000"/>
      <name val="標楷體"/>
      <family val="4"/>
      <charset val="136"/>
    </font>
    <font>
      <sz val="12"/>
      <color rgb="FFFF0000"/>
      <name val="標楷體"/>
      <family val="4"/>
      <charset val="136"/>
    </font>
    <font>
      <sz val="9"/>
      <name val="Calibri"/>
      <family val="3"/>
      <charset val="136"/>
      <scheme val="minor"/>
    </font>
    <font>
      <sz val="14"/>
      <color rgb="FF000000"/>
      <name val="Calibri"/>
      <family val="2"/>
      <scheme val="minor"/>
    </font>
    <font>
      <sz val="18"/>
      <color rgb="FF000000"/>
      <name val="Calibri"/>
      <family val="2"/>
      <scheme val="minor"/>
    </font>
    <font>
      <sz val="10"/>
      <name val="DFKai-SB"/>
      <family val="4"/>
      <charset val="136"/>
    </font>
    <font>
      <sz val="12"/>
      <name val="Calibri"/>
      <family val="2"/>
    </font>
    <font>
      <sz val="12"/>
      <color rgb="FF000000"/>
      <name val="Calibri"/>
      <family val="2"/>
      <scheme val="minor"/>
    </font>
    <font>
      <sz val="13"/>
      <name val="標楷體"/>
      <family val="4"/>
      <charset val="136"/>
    </font>
    <font>
      <u/>
      <sz val="13"/>
      <color rgb="FF262626"/>
      <name val="標楷體"/>
      <family val="4"/>
      <charset val="136"/>
    </font>
    <font>
      <sz val="12"/>
      <color rgb="FF000000"/>
      <name val="Calibri"/>
      <family val="2"/>
      <scheme val="minor"/>
    </font>
    <font>
      <sz val="14"/>
      <name val="DFKai-SB"/>
      <family val="4"/>
      <charset val="136"/>
    </font>
    <font>
      <sz val="12"/>
      <name val="Calibri"/>
      <family val="2"/>
      <scheme val="minor"/>
    </font>
    <font>
      <sz val="14"/>
      <color rgb="FFFF0000"/>
      <name val="DFKai-SB"/>
      <family val="4"/>
      <charset val="136"/>
    </font>
  </fonts>
  <fills count="7">
    <fill>
      <patternFill patternType="none"/>
    </fill>
    <fill>
      <patternFill patternType="gray125"/>
    </fill>
    <fill>
      <patternFill patternType="solid">
        <fgColor rgb="FFFFF2CB"/>
        <bgColor rgb="FFFFF2CB"/>
      </patternFill>
    </fill>
    <fill>
      <patternFill patternType="solid">
        <fgColor rgb="FFDEEAF6"/>
        <bgColor rgb="FFDEEAF6"/>
      </patternFill>
    </fill>
    <fill>
      <patternFill patternType="solid">
        <fgColor rgb="FFFFFF00"/>
        <bgColor rgb="FFFFFF00"/>
      </patternFill>
    </fill>
    <fill>
      <patternFill patternType="solid">
        <fgColor theme="0"/>
        <bgColor theme="0"/>
      </patternFill>
    </fill>
    <fill>
      <patternFill patternType="solid">
        <fgColor rgb="FFD9E2F3"/>
        <bgColor rgb="FFD9E2F3"/>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3">
    <xf numFmtId="0" fontId="0" fillId="0" borderId="0"/>
    <xf numFmtId="9" fontId="51" fillId="0" borderId="0" applyFont="0" applyFill="0" applyBorder="0" applyAlignment="0" applyProtection="0">
      <alignment vertical="center"/>
    </xf>
    <xf numFmtId="43" fontId="54" fillId="0" borderId="0" applyFont="0" applyFill="0" applyBorder="0" applyAlignment="0" applyProtection="0">
      <alignment vertical="center"/>
    </xf>
  </cellStyleXfs>
  <cellXfs count="101">
    <xf numFmtId="0" fontId="0" fillId="0" borderId="0" xfId="0" applyFont="1" applyAlignment="1">
      <alignment vertical="center"/>
    </xf>
    <xf numFmtId="176" fontId="1" fillId="0" borderId="0" xfId="0" applyNumberFormat="1"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10" fontId="1" fillId="0" borderId="0" xfId="0" applyNumberFormat="1" applyFont="1" applyAlignment="1">
      <alignment vertical="center"/>
    </xf>
    <xf numFmtId="0" fontId="12" fillId="0" borderId="3" xfId="0" applyFont="1" applyBorder="1" applyAlignment="1">
      <alignment vertical="center"/>
    </xf>
    <xf numFmtId="0" fontId="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Border="1" applyAlignment="1">
      <alignment vertical="center" wrapText="1"/>
    </xf>
    <xf numFmtId="0" fontId="16"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vertical="center"/>
    </xf>
    <xf numFmtId="3" fontId="18" fillId="0" borderId="1" xfId="0" applyNumberFormat="1" applyFont="1" applyBorder="1" applyAlignment="1">
      <alignment vertical="center"/>
    </xf>
    <xf numFmtId="0" fontId="6" fillId="0" borderId="1" xfId="0" applyFont="1" applyBorder="1" applyAlignment="1">
      <alignment vertical="center"/>
    </xf>
    <xf numFmtId="177" fontId="6" fillId="0" borderId="1" xfId="0" applyNumberFormat="1" applyFont="1" applyBorder="1" applyAlignment="1">
      <alignment vertical="center"/>
    </xf>
    <xf numFmtId="10" fontId="6" fillId="0" borderId="1" xfId="0" applyNumberFormat="1" applyFont="1" applyBorder="1" applyAlignment="1">
      <alignment vertical="center"/>
    </xf>
    <xf numFmtId="177" fontId="19" fillId="0" borderId="1" xfId="0" applyNumberFormat="1" applyFont="1" applyBorder="1" applyAlignment="1">
      <alignment vertical="center"/>
    </xf>
    <xf numFmtId="3" fontId="20" fillId="0" borderId="1" xfId="0" applyNumberFormat="1" applyFont="1" applyBorder="1" applyAlignment="1">
      <alignment vertical="center"/>
    </xf>
    <xf numFmtId="3" fontId="21" fillId="0" borderId="1" xfId="0" applyNumberFormat="1" applyFont="1" applyBorder="1" applyAlignment="1">
      <alignment vertical="center"/>
    </xf>
    <xf numFmtId="178" fontId="22" fillId="0" borderId="0" xfId="0" applyNumberFormat="1" applyFont="1" applyAlignment="1">
      <alignment vertical="center"/>
    </xf>
    <xf numFmtId="3" fontId="23" fillId="4" borderId="1" xfId="0" applyNumberFormat="1" applyFont="1" applyFill="1" applyBorder="1" applyAlignment="1">
      <alignment vertical="center"/>
    </xf>
    <xf numFmtId="10" fontId="12" fillId="4" borderId="1" xfId="0" applyNumberFormat="1" applyFont="1" applyFill="1" applyBorder="1" applyAlignment="1">
      <alignment vertical="center"/>
    </xf>
    <xf numFmtId="177" fontId="24" fillId="0" borderId="1" xfId="0" applyNumberFormat="1" applyFont="1" applyBorder="1" applyAlignment="1">
      <alignment vertical="center"/>
    </xf>
    <xf numFmtId="177" fontId="23" fillId="0" borderId="1" xfId="0" applyNumberFormat="1" applyFont="1" applyBorder="1" applyAlignment="1">
      <alignment vertical="center"/>
    </xf>
    <xf numFmtId="177" fontId="18" fillId="5" borderId="1" xfId="0" applyNumberFormat="1" applyFont="1" applyFill="1" applyBorder="1" applyAlignment="1">
      <alignment vertical="center"/>
    </xf>
    <xf numFmtId="177" fontId="18" fillId="0" borderId="1" xfId="0" applyNumberFormat="1" applyFont="1" applyBorder="1" applyAlignment="1">
      <alignment vertical="center"/>
    </xf>
    <xf numFmtId="0" fontId="6" fillId="0" borderId="1" xfId="0" applyFont="1" applyBorder="1" applyAlignment="1">
      <alignment vertical="top" wrapText="1"/>
    </xf>
    <xf numFmtId="3" fontId="6" fillId="0" borderId="1" xfId="0" applyNumberFormat="1" applyFont="1" applyBorder="1" applyAlignment="1">
      <alignment vertical="top"/>
    </xf>
    <xf numFmtId="3" fontId="12" fillId="0" borderId="1" xfId="0" applyNumberFormat="1" applyFont="1" applyBorder="1" applyAlignment="1">
      <alignment vertical="top"/>
    </xf>
    <xf numFmtId="0" fontId="6" fillId="0" borderId="1" xfId="0" applyFont="1" applyBorder="1" applyAlignment="1">
      <alignment vertical="top"/>
    </xf>
    <xf numFmtId="3" fontId="25" fillId="2" borderId="1" xfId="0" applyNumberFormat="1" applyFont="1" applyFill="1" applyBorder="1" applyAlignment="1">
      <alignment vertical="center"/>
    </xf>
    <xf numFmtId="3" fontId="26" fillId="6" borderId="1" xfId="0" applyNumberFormat="1" applyFont="1" applyFill="1" applyBorder="1" applyAlignment="1">
      <alignment vertical="center" wrapText="1"/>
    </xf>
    <xf numFmtId="10" fontId="26" fillId="6" borderId="1" xfId="0" applyNumberFormat="1" applyFont="1" applyFill="1" applyBorder="1" applyAlignment="1">
      <alignment vertical="center"/>
    </xf>
    <xf numFmtId="0" fontId="12" fillId="0" borderId="0" xfId="0" applyFont="1" applyAlignment="1">
      <alignment horizontal="center" vertical="center" wrapText="1"/>
    </xf>
    <xf numFmtId="3" fontId="27" fillId="0" borderId="0" xfId="0" applyNumberFormat="1" applyFont="1" applyAlignment="1">
      <alignment horizontal="center" vertical="center" wrapText="1"/>
    </xf>
    <xf numFmtId="0" fontId="1" fillId="0" borderId="0" xfId="0" applyFont="1" applyAlignment="1">
      <alignment vertical="center" wrapText="1"/>
    </xf>
    <xf numFmtId="3" fontId="1" fillId="0" borderId="0" xfId="0" applyNumberFormat="1" applyFont="1" applyAlignment="1">
      <alignment vertical="center" wrapText="1"/>
    </xf>
    <xf numFmtId="177" fontId="6" fillId="0" borderId="0" xfId="0" applyNumberFormat="1" applyFont="1" applyAlignment="1">
      <alignment vertical="center"/>
    </xf>
    <xf numFmtId="0" fontId="28" fillId="0" borderId="0" xfId="0" applyFont="1" applyAlignment="1">
      <alignment vertical="center"/>
    </xf>
    <xf numFmtId="3" fontId="28" fillId="0" borderId="0" xfId="0" applyNumberFormat="1" applyFont="1" applyAlignment="1">
      <alignment vertical="center"/>
    </xf>
    <xf numFmtId="9" fontId="1" fillId="0" borderId="0" xfId="1" applyFont="1" applyAlignment="1">
      <alignment vertical="center"/>
    </xf>
    <xf numFmtId="0" fontId="4" fillId="0" borderId="3" xfId="0" applyFont="1" applyBorder="1" applyAlignment="1">
      <alignment vertical="center"/>
    </xf>
    <xf numFmtId="0" fontId="5" fillId="0" borderId="0" xfId="0" applyFont="1" applyAlignment="1">
      <alignment vertical="center"/>
    </xf>
    <xf numFmtId="0" fontId="0" fillId="0" borderId="0" xfId="0" applyFont="1" applyAlignment="1">
      <alignment vertical="center"/>
    </xf>
    <xf numFmtId="0" fontId="6" fillId="0" borderId="0" xfId="0" applyFont="1" applyAlignment="1">
      <alignment horizontal="left" vertical="center" wrapText="1"/>
    </xf>
    <xf numFmtId="0" fontId="5" fillId="0" borderId="0" xfId="0" applyFont="1" applyAlignment="1">
      <alignment vertical="center" wrapText="1"/>
    </xf>
    <xf numFmtId="3" fontId="6" fillId="0" borderId="0" xfId="0" applyNumberFormat="1" applyFont="1" applyAlignment="1">
      <alignment vertical="center"/>
    </xf>
    <xf numFmtId="0" fontId="5" fillId="0" borderId="0" xfId="0" applyFont="1" applyAlignment="1">
      <alignment vertical="center"/>
    </xf>
    <xf numFmtId="0" fontId="0" fillId="0" borderId="0" xfId="0" applyFont="1" applyAlignment="1">
      <alignment vertical="center"/>
    </xf>
    <xf numFmtId="179" fontId="6" fillId="0" borderId="0" xfId="2" applyNumberFormat="1"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0" fillId="0" borderId="0" xfId="0" applyFont="1" applyAlignment="1">
      <alignment vertical="center"/>
    </xf>
    <xf numFmtId="0" fontId="3" fillId="0" borderId="0" xfId="0" applyFont="1" applyAlignment="1">
      <alignment horizontal="center" vertical="center"/>
    </xf>
    <xf numFmtId="0" fontId="48"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177" fontId="7" fillId="0" borderId="0" xfId="0" applyNumberFormat="1" applyFont="1" applyAlignment="1">
      <alignment horizontal="center" vertical="center"/>
    </xf>
    <xf numFmtId="0" fontId="8" fillId="0" borderId="0" xfId="0" applyFont="1" applyAlignment="1">
      <alignment vertical="center" wrapText="1"/>
    </xf>
    <xf numFmtId="0" fontId="5" fillId="0" borderId="0" xfId="0" applyFont="1" applyAlignment="1">
      <alignment horizontal="left" vertical="center" wrapText="1"/>
    </xf>
    <xf numFmtId="0" fontId="47" fillId="0" borderId="0" xfId="0" applyFont="1" applyAlignment="1">
      <alignment horizontal="left" vertical="center"/>
    </xf>
    <xf numFmtId="0" fontId="9" fillId="0" borderId="0" xfId="0" applyFont="1" applyAlignment="1">
      <alignment vertical="center" wrapText="1"/>
    </xf>
    <xf numFmtId="3" fontId="10" fillId="0" borderId="0" xfId="0" applyNumberFormat="1" applyFont="1" applyAlignment="1">
      <alignment horizontal="center" vertical="center"/>
    </xf>
    <xf numFmtId="3" fontId="11" fillId="0" borderId="0" xfId="0" applyNumberFormat="1" applyFont="1" applyAlignment="1">
      <alignment horizontal="center" vertical="center"/>
    </xf>
    <xf numFmtId="0" fontId="12" fillId="2" borderId="2" xfId="0" applyFont="1" applyFill="1" applyBorder="1" applyAlignment="1">
      <alignment vertical="center" wrapText="1"/>
    </xf>
    <xf numFmtId="0" fontId="13" fillId="0" borderId="4" xfId="0" applyFont="1" applyBorder="1" applyAlignment="1">
      <alignment vertical="center"/>
    </xf>
    <xf numFmtId="0" fontId="16" fillId="2" borderId="2" xfId="0" applyFont="1" applyFill="1" applyBorder="1" applyAlignment="1">
      <alignment vertical="center" wrapText="1"/>
    </xf>
    <xf numFmtId="0" fontId="17" fillId="0" borderId="2" xfId="0" applyFont="1" applyBorder="1" applyAlignment="1">
      <alignment vertical="center" wrapText="1"/>
    </xf>
    <xf numFmtId="0" fontId="16" fillId="0" borderId="2" xfId="0" applyFont="1" applyFill="1" applyBorder="1" applyAlignment="1">
      <alignment vertical="center" wrapText="1"/>
    </xf>
    <xf numFmtId="0" fontId="13" fillId="0" borderId="4" xfId="0" applyFont="1" applyFill="1" applyBorder="1" applyAlignment="1">
      <alignment vertical="center"/>
    </xf>
    <xf numFmtId="10" fontId="16" fillId="0" borderId="2" xfId="0" applyNumberFormat="1" applyFont="1" applyFill="1" applyBorder="1" applyAlignment="1">
      <alignment horizontal="left" vertical="center" wrapText="1"/>
    </xf>
    <xf numFmtId="0" fontId="12" fillId="0" borderId="3" xfId="0" applyFont="1" applyBorder="1" applyAlignment="1">
      <alignment horizontal="center" vertical="center"/>
    </xf>
    <xf numFmtId="0" fontId="6" fillId="0" borderId="3" xfId="0" applyFont="1" applyBorder="1" applyAlignment="1">
      <alignment horizontal="right" vertical="center"/>
    </xf>
    <xf numFmtId="0" fontId="13" fillId="0" borderId="3" xfId="0" applyFont="1" applyBorder="1" applyAlignment="1">
      <alignment vertical="center"/>
    </xf>
    <xf numFmtId="0" fontId="6" fillId="0" borderId="2" xfId="0" applyFont="1" applyBorder="1" applyAlignment="1">
      <alignment horizontal="center" vertical="center" wrapText="1"/>
    </xf>
    <xf numFmtId="0" fontId="12" fillId="0" borderId="2" xfId="0" applyFont="1" applyBorder="1" applyAlignment="1">
      <alignment vertical="center" wrapText="1"/>
    </xf>
    <xf numFmtId="0" fontId="49" fillId="0" borderId="2" xfId="0" applyFont="1" applyFill="1" applyBorder="1" applyAlignment="1">
      <alignment vertical="center" wrapText="1"/>
    </xf>
    <xf numFmtId="0" fontId="50" fillId="0" borderId="4" xfId="0" applyFont="1" applyFill="1" applyBorder="1" applyAlignment="1">
      <alignment vertical="center"/>
    </xf>
    <xf numFmtId="0" fontId="17" fillId="3" borderId="2" xfId="0" applyFont="1" applyFill="1" applyBorder="1" applyAlignment="1">
      <alignment vertical="center" wrapText="1"/>
    </xf>
    <xf numFmtId="0" fontId="16" fillId="0" borderId="2" xfId="0" applyFont="1" applyFill="1" applyBorder="1" applyAlignment="1">
      <alignment horizontal="left" vertical="center" wrapText="1"/>
    </xf>
    <xf numFmtId="0" fontId="12" fillId="4" borderId="2" xfId="0" applyFont="1" applyFill="1" applyBorder="1" applyAlignment="1">
      <alignment horizontal="center" vertical="center" wrapText="1"/>
    </xf>
    <xf numFmtId="0" fontId="12" fillId="4" borderId="2" xfId="0" applyFont="1" applyFill="1" applyBorder="1" applyAlignment="1">
      <alignment horizontal="left" vertical="top"/>
    </xf>
    <xf numFmtId="0" fontId="17" fillId="0" borderId="2" xfId="0" applyFont="1" applyFill="1" applyBorder="1" applyAlignment="1">
      <alignment horizontal="left" vertical="center" wrapText="1"/>
    </xf>
    <xf numFmtId="0" fontId="17" fillId="0" borderId="4" xfId="0" applyFont="1" applyFill="1" applyBorder="1" applyAlignment="1">
      <alignment horizontal="left" vertical="center" wrapText="1"/>
    </xf>
    <xf numFmtId="10" fontId="16" fillId="0" borderId="4" xfId="0" applyNumberFormat="1" applyFont="1" applyFill="1" applyBorder="1" applyAlignment="1">
      <alignment horizontal="left" vertical="center" wrapText="1"/>
    </xf>
    <xf numFmtId="0" fontId="17" fillId="0" borderId="2" xfId="0" applyFont="1" applyBorder="1" applyAlignment="1">
      <alignment horizontal="center" vertical="center" wrapText="1"/>
    </xf>
    <xf numFmtId="0" fontId="6" fillId="0" borderId="2" xfId="0" applyFont="1" applyFill="1" applyBorder="1" applyAlignment="1">
      <alignment horizontal="left" vertical="top" wrapText="1"/>
    </xf>
    <xf numFmtId="0" fontId="12" fillId="6" borderId="2" xfId="0" applyFont="1" applyFill="1" applyBorder="1" applyAlignment="1">
      <alignment horizontal="center" vertical="center" wrapText="1"/>
    </xf>
    <xf numFmtId="0" fontId="6" fillId="6" borderId="2" xfId="0" applyFont="1" applyFill="1" applyBorder="1" applyAlignment="1">
      <alignment horizontal="left" vertical="top" wrapText="1"/>
    </xf>
    <xf numFmtId="0" fontId="6" fillId="0" borderId="5" xfId="0" applyFont="1" applyBorder="1" applyAlignment="1">
      <alignment horizontal="left" vertical="center" wrapText="1"/>
    </xf>
    <xf numFmtId="0" fontId="13" fillId="0" borderId="5" xfId="0" applyFont="1" applyBorder="1" applyAlignment="1">
      <alignment vertical="center"/>
    </xf>
    <xf numFmtId="0" fontId="6" fillId="0" borderId="0" xfId="0" applyFont="1" applyAlignment="1">
      <alignment horizontal="left" vertical="center" wrapText="1"/>
    </xf>
    <xf numFmtId="0" fontId="55" fillId="0" borderId="0" xfId="0" applyFont="1" applyFill="1" applyAlignment="1">
      <alignment vertical="center"/>
    </xf>
    <xf numFmtId="0" fontId="56" fillId="0" borderId="0" xfId="0" applyFont="1" applyFill="1" applyAlignment="1">
      <alignment vertical="center"/>
    </xf>
    <xf numFmtId="0" fontId="6" fillId="0" borderId="0" xfId="0" applyFont="1" applyAlignment="1">
      <alignment horizontal="left" vertical="center"/>
    </xf>
    <xf numFmtId="0" fontId="14" fillId="0" borderId="0" xfId="0" applyFont="1" applyAlignment="1">
      <alignment horizontal="left" vertical="center" wrapText="1"/>
    </xf>
    <xf numFmtId="177" fontId="7" fillId="0" borderId="0" xfId="0" applyNumberFormat="1" applyFont="1" applyAlignment="1">
      <alignment horizontal="center" vertical="center" wrapText="1"/>
    </xf>
    <xf numFmtId="0" fontId="47" fillId="0" borderId="0" xfId="0" applyFont="1" applyAlignment="1">
      <alignment horizontal="center" vertical="center"/>
    </xf>
  </cellXfs>
  <cellStyles count="3">
    <cellStyle name="一般" xfId="0" builtinId="0"/>
    <cellStyle name="千分位" xfId="2" builtinId="3"/>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2"/>
  <sheetViews>
    <sheetView tabSelected="1" zoomScaleNormal="100" workbookViewId="0">
      <selection activeCell="K59" sqref="K59:L59"/>
    </sheetView>
  </sheetViews>
  <sheetFormatPr defaultColWidth="11.25" defaultRowHeight="15" customHeight="1"/>
  <cols>
    <col min="1" max="1" width="13.375" style="45" customWidth="1"/>
    <col min="2" max="2" width="16.5" style="45" customWidth="1"/>
    <col min="3" max="3" width="14.875" style="45" customWidth="1"/>
    <col min="4" max="4" width="13" style="45" customWidth="1"/>
    <col min="5" max="5" width="12.75" style="45" customWidth="1"/>
    <col min="6" max="6" width="13.5" style="45" customWidth="1"/>
    <col min="7" max="7" width="13.25" style="45" customWidth="1"/>
    <col min="8" max="8" width="12.125" style="45" customWidth="1"/>
    <col min="9" max="9" width="19.25" style="45" customWidth="1"/>
    <col min="10" max="10" width="11.625" style="45" customWidth="1"/>
    <col min="11" max="11" width="16.375" style="45" customWidth="1"/>
    <col min="12" max="12" width="15.375" style="45" customWidth="1"/>
    <col min="13" max="13" width="18.125" style="45" customWidth="1"/>
    <col min="14" max="14" width="12.625" style="45" customWidth="1"/>
    <col min="15" max="15" width="12.125" style="45" customWidth="1"/>
    <col min="16" max="16" width="12.375" style="45" bestFit="1" customWidth="1"/>
    <col min="17" max="26" width="7.375" style="45" customWidth="1"/>
    <col min="27" max="16384" width="11.25" style="45"/>
  </cols>
  <sheetData>
    <row r="1" spans="1:16" ht="16.5" customHeight="1">
      <c r="M1" s="1"/>
      <c r="N1" s="1"/>
      <c r="O1" s="1"/>
      <c r="P1" s="1"/>
    </row>
    <row r="2" spans="1:16" ht="20.25" customHeight="1">
      <c r="A2" s="53" t="s">
        <v>0</v>
      </c>
      <c r="B2" s="54"/>
      <c r="C2" s="54"/>
      <c r="D2" s="54"/>
      <c r="E2" s="54"/>
      <c r="F2" s="54"/>
      <c r="G2" s="54"/>
      <c r="H2" s="54"/>
      <c r="I2" s="54"/>
      <c r="J2" s="54"/>
      <c r="K2" s="54"/>
      <c r="L2" s="54"/>
      <c r="M2" s="1"/>
      <c r="N2" s="1"/>
      <c r="O2" s="1"/>
      <c r="P2" s="1"/>
    </row>
    <row r="3" spans="1:16" ht="25.5" customHeight="1">
      <c r="A3" s="55" t="s">
        <v>1</v>
      </c>
      <c r="B3" s="56"/>
      <c r="C3" s="56"/>
      <c r="D3" s="56"/>
      <c r="E3" s="56"/>
      <c r="F3" s="56"/>
      <c r="G3" s="56"/>
      <c r="H3" s="56"/>
      <c r="I3" s="56"/>
      <c r="J3" s="56"/>
      <c r="K3" s="56"/>
      <c r="L3" s="56"/>
      <c r="M3" s="1"/>
      <c r="N3" s="1"/>
      <c r="O3" s="1"/>
      <c r="P3" s="1"/>
    </row>
    <row r="4" spans="1:16" ht="20.25" customHeight="1">
      <c r="A4" s="57" t="s">
        <v>229</v>
      </c>
      <c r="B4" s="54"/>
      <c r="C4" s="54"/>
      <c r="D4" s="54"/>
      <c r="E4" s="54"/>
      <c r="F4" s="54"/>
      <c r="G4" s="54"/>
      <c r="H4" s="54"/>
      <c r="I4" s="54"/>
      <c r="J4" s="54"/>
      <c r="K4" s="54"/>
      <c r="L4" s="54"/>
      <c r="M4" s="1"/>
      <c r="N4" s="1"/>
      <c r="O4" s="1"/>
      <c r="P4" s="1"/>
    </row>
    <row r="5" spans="1:16" ht="20.25" customHeight="1">
      <c r="A5" s="58" t="s">
        <v>2</v>
      </c>
      <c r="B5" s="54"/>
      <c r="C5" s="54"/>
      <c r="D5" s="54"/>
      <c r="E5" s="54"/>
      <c r="F5" s="54"/>
      <c r="G5" s="54"/>
      <c r="H5" s="54"/>
      <c r="I5" s="54"/>
      <c r="J5" s="54"/>
      <c r="K5" s="54"/>
      <c r="L5" s="54"/>
      <c r="M5" s="1"/>
      <c r="N5" s="1"/>
      <c r="O5" s="1"/>
      <c r="P5" s="1"/>
    </row>
    <row r="6" spans="1:16" ht="21" customHeight="1">
      <c r="A6" s="59" t="s">
        <v>3</v>
      </c>
      <c r="B6" s="54"/>
      <c r="C6" s="54"/>
      <c r="D6" s="54"/>
      <c r="E6" s="54"/>
      <c r="F6" s="54"/>
      <c r="G6" s="54"/>
      <c r="H6" s="54"/>
      <c r="I6" s="54"/>
      <c r="J6" s="54"/>
      <c r="K6" s="54"/>
      <c r="L6" s="54"/>
      <c r="M6" s="1"/>
      <c r="N6" s="1"/>
      <c r="O6" s="1"/>
      <c r="P6" s="1"/>
    </row>
    <row r="7" spans="1:16" ht="20.25" customHeight="1">
      <c r="A7" s="59" t="s">
        <v>4</v>
      </c>
      <c r="B7" s="54"/>
      <c r="C7" s="54"/>
      <c r="D7" s="54"/>
      <c r="E7" s="54"/>
      <c r="F7" s="54"/>
      <c r="G7" s="54"/>
      <c r="H7" s="54"/>
      <c r="I7" s="54"/>
      <c r="J7" s="54"/>
      <c r="K7" s="54"/>
      <c r="L7" s="54"/>
      <c r="M7" s="1"/>
      <c r="N7" s="1"/>
      <c r="O7" s="1"/>
      <c r="P7" s="1"/>
    </row>
    <row r="8" spans="1:16" ht="20.25" customHeight="1">
      <c r="A8" s="59" t="s">
        <v>5</v>
      </c>
      <c r="B8" s="54"/>
      <c r="C8" s="54"/>
      <c r="D8" s="54"/>
      <c r="E8" s="54"/>
      <c r="F8" s="54"/>
      <c r="G8" s="54"/>
      <c r="H8" s="54"/>
      <c r="I8" s="54"/>
      <c r="J8" s="54"/>
      <c r="K8" s="54"/>
      <c r="L8" s="54"/>
      <c r="M8" s="1"/>
      <c r="N8" s="1"/>
      <c r="O8" s="1"/>
      <c r="P8" s="1"/>
    </row>
    <row r="9" spans="1:16" ht="20.25" customHeight="1">
      <c r="A9" s="44" t="s">
        <v>6</v>
      </c>
      <c r="B9" s="2"/>
      <c r="C9" s="2"/>
      <c r="D9" s="2"/>
      <c r="E9" s="2"/>
      <c r="F9" s="2"/>
      <c r="G9" s="2"/>
      <c r="H9" s="2"/>
      <c r="I9" s="2"/>
      <c r="J9" s="2"/>
      <c r="K9" s="2"/>
      <c r="L9" s="2"/>
      <c r="M9" s="1"/>
      <c r="N9" s="1"/>
      <c r="O9" s="1"/>
      <c r="P9" s="1"/>
    </row>
    <row r="10" spans="1:16" ht="20.25" customHeight="1">
      <c r="A10" s="59" t="s">
        <v>7</v>
      </c>
      <c r="B10" s="54"/>
      <c r="C10" s="54"/>
      <c r="D10" s="54"/>
      <c r="E10" s="54"/>
      <c r="F10" s="54"/>
      <c r="G10" s="54"/>
      <c r="H10" s="54"/>
      <c r="I10" s="54"/>
      <c r="J10" s="54"/>
      <c r="K10" s="54"/>
      <c r="L10" s="54"/>
      <c r="M10" s="1"/>
      <c r="N10" s="1"/>
      <c r="O10" s="1"/>
      <c r="P10" s="1"/>
    </row>
    <row r="11" spans="1:16" ht="20.25" customHeight="1">
      <c r="A11" s="44" t="s">
        <v>244</v>
      </c>
      <c r="B11" s="2"/>
      <c r="C11" s="2"/>
      <c r="D11" s="2"/>
      <c r="E11" s="60">
        <v>27227835</v>
      </c>
      <c r="F11" s="54"/>
      <c r="G11" s="3" t="s">
        <v>8</v>
      </c>
      <c r="H11" s="2"/>
      <c r="I11" s="2"/>
      <c r="J11" s="2"/>
      <c r="K11" s="2"/>
      <c r="L11" s="2"/>
      <c r="M11" s="1"/>
      <c r="N11" s="1"/>
      <c r="O11" s="1"/>
      <c r="P11" s="1"/>
    </row>
    <row r="12" spans="1:16" ht="20.25" customHeight="1">
      <c r="A12" s="44" t="s">
        <v>9</v>
      </c>
      <c r="B12" s="2"/>
      <c r="C12" s="2"/>
      <c r="D12" s="2"/>
      <c r="E12" s="2"/>
      <c r="F12" s="2"/>
      <c r="G12" s="2"/>
      <c r="H12" s="2"/>
      <c r="I12" s="2"/>
      <c r="J12" s="2"/>
      <c r="K12" s="2"/>
      <c r="L12" s="2"/>
      <c r="M12" s="1"/>
      <c r="N12" s="1"/>
      <c r="O12" s="1"/>
      <c r="P12" s="1"/>
    </row>
    <row r="13" spans="1:16" ht="24.75" customHeight="1">
      <c r="A13" s="58" t="s">
        <v>10</v>
      </c>
      <c r="B13" s="54"/>
      <c r="C13" s="54"/>
      <c r="D13" s="54"/>
      <c r="E13" s="54"/>
      <c r="F13" s="54"/>
      <c r="G13" s="60">
        <f>447257171+F14</f>
        <v>449757899</v>
      </c>
      <c r="H13" s="54"/>
      <c r="I13" s="3" t="s">
        <v>8</v>
      </c>
      <c r="J13" s="47"/>
      <c r="K13" s="47"/>
      <c r="L13" s="47"/>
      <c r="M13" s="1"/>
      <c r="N13" s="1"/>
      <c r="O13" s="1"/>
      <c r="P13" s="1"/>
    </row>
    <row r="14" spans="1:16" ht="22.5" customHeight="1">
      <c r="A14" s="64" t="s">
        <v>11</v>
      </c>
      <c r="B14" s="54"/>
      <c r="C14" s="54"/>
      <c r="D14" s="54"/>
      <c r="E14" s="54"/>
      <c r="F14" s="65">
        <f>1240419+1260309</f>
        <v>2500728</v>
      </c>
      <c r="G14" s="54"/>
      <c r="H14" s="3" t="s">
        <v>8</v>
      </c>
      <c r="I14" s="66"/>
      <c r="J14" s="54"/>
      <c r="K14" s="4"/>
      <c r="L14" s="2"/>
      <c r="M14" s="1"/>
      <c r="N14" s="1"/>
      <c r="O14" s="1"/>
      <c r="P14" s="1"/>
    </row>
    <row r="15" spans="1:16" ht="24" customHeight="1">
      <c r="A15" s="58" t="s">
        <v>12</v>
      </c>
      <c r="B15" s="54"/>
      <c r="C15" s="54"/>
      <c r="D15" s="54"/>
      <c r="E15" s="54"/>
      <c r="F15" s="54"/>
      <c r="G15" s="54"/>
      <c r="H15" s="54"/>
      <c r="I15" s="54"/>
      <c r="J15" s="54"/>
      <c r="K15" s="54"/>
      <c r="L15" s="54"/>
      <c r="M15" s="1"/>
      <c r="N15" s="1"/>
      <c r="O15" s="1"/>
      <c r="P15" s="1"/>
    </row>
    <row r="16" spans="1:16" ht="23.25" customHeight="1">
      <c r="A16" s="58" t="s">
        <v>13</v>
      </c>
      <c r="B16" s="54"/>
      <c r="C16" s="54"/>
      <c r="D16" s="54"/>
      <c r="E16" s="54"/>
      <c r="F16" s="54"/>
      <c r="G16" s="60">
        <v>166258343</v>
      </c>
      <c r="H16" s="54"/>
      <c r="I16" s="3" t="s">
        <v>8</v>
      </c>
      <c r="J16" s="47"/>
      <c r="K16" s="47"/>
      <c r="L16" s="47"/>
      <c r="M16" s="1"/>
      <c r="N16" s="1"/>
      <c r="O16" s="1"/>
      <c r="P16" s="1"/>
    </row>
    <row r="17" spans="1:26" ht="21.75" customHeight="1">
      <c r="A17" s="44" t="s">
        <v>14</v>
      </c>
      <c r="B17" s="2"/>
      <c r="C17" s="2"/>
      <c r="D17" s="2"/>
      <c r="E17" s="48"/>
      <c r="F17" s="2"/>
      <c r="G17" s="2"/>
      <c r="H17" s="2"/>
      <c r="I17" s="2"/>
      <c r="J17" s="2"/>
      <c r="K17" s="2"/>
      <c r="L17" s="2"/>
      <c r="M17" s="1"/>
      <c r="N17" s="1"/>
      <c r="O17" s="5"/>
      <c r="P17" s="1"/>
    </row>
    <row r="18" spans="1:26" ht="21.75" customHeight="1">
      <c r="A18" s="61" t="s">
        <v>232</v>
      </c>
      <c r="B18" s="54"/>
      <c r="C18" s="54"/>
      <c r="D18" s="54"/>
      <c r="E18" s="54"/>
      <c r="F18" s="54"/>
      <c r="G18" s="54"/>
      <c r="H18" s="54"/>
      <c r="I18" s="54"/>
      <c r="J18" s="54"/>
      <c r="K18" s="54"/>
      <c r="M18" s="1"/>
      <c r="N18" s="1"/>
      <c r="O18" s="1"/>
      <c r="P18" s="1"/>
    </row>
    <row r="19" spans="1:26" ht="39.75" customHeight="1">
      <c r="A19" s="61" t="s">
        <v>233</v>
      </c>
      <c r="B19" s="54"/>
      <c r="C19" s="54"/>
      <c r="D19" s="54"/>
      <c r="E19" s="54"/>
      <c r="F19" s="54"/>
      <c r="G19" s="54"/>
      <c r="H19" s="54"/>
      <c r="I19" s="54"/>
      <c r="J19" s="54"/>
      <c r="K19" s="54"/>
      <c r="M19" s="1"/>
      <c r="N19" s="1"/>
      <c r="O19" s="1"/>
      <c r="P19" s="1"/>
    </row>
    <row r="20" spans="1:26" ht="24.75" customHeight="1">
      <c r="A20" s="62" t="s">
        <v>247</v>
      </c>
      <c r="B20" s="63"/>
      <c r="C20" s="63"/>
      <c r="D20" s="63"/>
      <c r="E20" s="63"/>
      <c r="F20" s="63"/>
      <c r="G20" s="63"/>
      <c r="H20" s="63"/>
      <c r="I20" s="63"/>
      <c r="J20" s="63"/>
      <c r="K20" s="63"/>
      <c r="L20" s="63"/>
      <c r="M20" s="1"/>
      <c r="N20" s="1"/>
      <c r="O20" s="1"/>
      <c r="P20" s="1"/>
    </row>
    <row r="21" spans="1:26" ht="40.5" customHeight="1">
      <c r="A21" s="58" t="s">
        <v>15</v>
      </c>
      <c r="B21" s="54"/>
      <c r="C21" s="54"/>
      <c r="D21" s="54"/>
      <c r="E21" s="54"/>
      <c r="F21" s="54"/>
      <c r="G21" s="54"/>
      <c r="H21" s="54"/>
      <c r="I21" s="54"/>
      <c r="J21" s="54"/>
      <c r="K21" s="54"/>
      <c r="L21" s="54"/>
      <c r="M21" s="1"/>
      <c r="N21" s="1"/>
      <c r="O21" s="1"/>
      <c r="P21" s="1"/>
    </row>
    <row r="22" spans="1:26" ht="24" customHeight="1">
      <c r="A22" s="43" t="s">
        <v>16</v>
      </c>
      <c r="B22" s="6"/>
      <c r="C22" s="6"/>
      <c r="D22" s="74"/>
      <c r="E22" s="74"/>
      <c r="F22" s="74"/>
      <c r="G22" s="74"/>
      <c r="H22" s="74"/>
      <c r="I22" s="74"/>
      <c r="J22" s="74"/>
      <c r="K22" s="75" t="s">
        <v>17</v>
      </c>
      <c r="L22" s="76"/>
      <c r="M22" s="1"/>
      <c r="N22" s="1"/>
      <c r="O22" s="1"/>
      <c r="P22" s="1"/>
    </row>
    <row r="23" spans="1:26" ht="49.5" customHeight="1">
      <c r="A23" s="77" t="s">
        <v>18</v>
      </c>
      <c r="B23" s="68"/>
      <c r="C23" s="7" t="s">
        <v>19</v>
      </c>
      <c r="D23" s="8" t="s">
        <v>235</v>
      </c>
      <c r="E23" s="7" t="s">
        <v>20</v>
      </c>
      <c r="F23" s="7" t="s">
        <v>21</v>
      </c>
      <c r="G23" s="7" t="s">
        <v>22</v>
      </c>
      <c r="H23" s="7" t="s">
        <v>23</v>
      </c>
      <c r="I23" s="9" t="s">
        <v>234</v>
      </c>
      <c r="J23" s="9" t="s">
        <v>24</v>
      </c>
      <c r="K23" s="77" t="s">
        <v>196</v>
      </c>
      <c r="L23" s="68"/>
      <c r="M23" s="1"/>
      <c r="N23" s="1"/>
      <c r="O23" s="1"/>
      <c r="P23" s="1"/>
    </row>
    <row r="24" spans="1:26" ht="20.25" customHeight="1">
      <c r="A24" s="78" t="s">
        <v>25</v>
      </c>
      <c r="B24" s="68"/>
      <c r="C24" s="10"/>
      <c r="D24" s="7"/>
      <c r="E24" s="7"/>
      <c r="F24" s="7"/>
      <c r="G24" s="7"/>
      <c r="H24" s="7"/>
      <c r="I24" s="11"/>
      <c r="J24" s="9"/>
      <c r="K24" s="77"/>
      <c r="L24" s="68"/>
      <c r="M24" s="1"/>
      <c r="N24" s="1"/>
      <c r="O24" s="1"/>
      <c r="P24" s="1"/>
    </row>
    <row r="25" spans="1:26" ht="21.75" customHeight="1">
      <c r="A25" s="67" t="s">
        <v>26</v>
      </c>
      <c r="B25" s="68"/>
      <c r="C25" s="12"/>
      <c r="D25" s="13"/>
      <c r="E25" s="13"/>
      <c r="F25" s="13"/>
      <c r="G25" s="13"/>
      <c r="H25" s="13"/>
      <c r="I25" s="13"/>
      <c r="J25" s="13"/>
      <c r="K25" s="69"/>
      <c r="L25" s="68"/>
      <c r="M25" s="1"/>
      <c r="N25" s="1"/>
      <c r="O25" s="1"/>
      <c r="P25" s="1"/>
    </row>
    <row r="26" spans="1:26" ht="31.5" customHeight="1">
      <c r="A26" s="70" t="s">
        <v>27</v>
      </c>
      <c r="B26" s="68"/>
      <c r="C26" s="14">
        <f>450000+200000</f>
        <v>650000</v>
      </c>
      <c r="D26" s="15">
        <v>0</v>
      </c>
      <c r="E26" s="27">
        <v>57104</v>
      </c>
      <c r="F26" s="27">
        <v>701645</v>
      </c>
      <c r="G26" s="27">
        <v>51962</v>
      </c>
      <c r="H26" s="27"/>
      <c r="I26" s="16">
        <f t="shared" ref="I26:I58" si="0">SUM(E26:H26)</f>
        <v>810711</v>
      </c>
      <c r="J26" s="17">
        <f>IFERROR((I26/(C26+D26)),0)</f>
        <v>1.2472476923076923</v>
      </c>
      <c r="K26" s="71" t="s">
        <v>252</v>
      </c>
      <c r="L26" s="72"/>
      <c r="M26" s="1"/>
      <c r="N26" s="1"/>
      <c r="O26" s="1"/>
      <c r="P26" s="1"/>
      <c r="Q26" s="1"/>
      <c r="R26" s="1"/>
      <c r="S26" s="1"/>
      <c r="T26" s="1"/>
      <c r="U26" s="1"/>
      <c r="V26" s="1"/>
      <c r="W26" s="1"/>
      <c r="X26" s="1"/>
      <c r="Y26" s="1"/>
      <c r="Z26" s="1"/>
    </row>
    <row r="27" spans="1:26" ht="33" customHeight="1">
      <c r="A27" s="70" t="s">
        <v>28</v>
      </c>
      <c r="B27" s="68"/>
      <c r="C27" s="18">
        <f>176456-158810</f>
        <v>17646</v>
      </c>
      <c r="D27" s="15">
        <v>0</v>
      </c>
      <c r="E27" s="27">
        <v>0</v>
      </c>
      <c r="F27" s="27">
        <v>4864</v>
      </c>
      <c r="G27" s="27">
        <v>3579</v>
      </c>
      <c r="H27" s="27"/>
      <c r="I27" s="16">
        <f t="shared" si="0"/>
        <v>8443</v>
      </c>
      <c r="J27" s="17">
        <f t="shared" ref="J27:J59" si="1">IFERROR((I27/(C27+D27)),0)</f>
        <v>0.47846537458914201</v>
      </c>
      <c r="K27" s="73" t="s">
        <v>205</v>
      </c>
      <c r="L27" s="72"/>
      <c r="M27" s="1"/>
      <c r="N27" s="1"/>
      <c r="O27" s="1"/>
      <c r="P27" s="1"/>
      <c r="Q27" s="1"/>
      <c r="R27" s="1"/>
      <c r="S27" s="1"/>
      <c r="T27" s="1"/>
      <c r="U27" s="1"/>
      <c r="V27" s="1"/>
      <c r="W27" s="1"/>
      <c r="X27" s="1"/>
      <c r="Y27" s="1"/>
      <c r="Z27" s="1"/>
    </row>
    <row r="28" spans="1:26" ht="23.25" customHeight="1">
      <c r="A28" s="70" t="s">
        <v>29</v>
      </c>
      <c r="B28" s="68"/>
      <c r="C28" s="18">
        <f>522978-100000</f>
        <v>422978</v>
      </c>
      <c r="D28" s="15">
        <v>0</v>
      </c>
      <c r="E28" s="27">
        <v>75290</v>
      </c>
      <c r="F28" s="27">
        <v>75290</v>
      </c>
      <c r="G28" s="27">
        <v>75290</v>
      </c>
      <c r="H28" s="27"/>
      <c r="I28" s="16">
        <f t="shared" si="0"/>
        <v>225870</v>
      </c>
      <c r="J28" s="17">
        <f t="shared" si="1"/>
        <v>0.53399940422433323</v>
      </c>
      <c r="K28" s="71" t="s">
        <v>206</v>
      </c>
      <c r="L28" s="72"/>
      <c r="M28" s="1"/>
      <c r="N28" s="1"/>
      <c r="O28" s="1"/>
      <c r="P28" s="1"/>
      <c r="Q28" s="1"/>
      <c r="R28" s="1"/>
      <c r="S28" s="1"/>
      <c r="T28" s="1"/>
      <c r="U28" s="1"/>
      <c r="V28" s="1"/>
      <c r="W28" s="1"/>
      <c r="X28" s="1"/>
      <c r="Y28" s="1"/>
      <c r="Z28" s="1"/>
    </row>
    <row r="29" spans="1:26" ht="32.25" customHeight="1">
      <c r="A29" s="70" t="s">
        <v>30</v>
      </c>
      <c r="B29" s="68"/>
      <c r="C29" s="19">
        <f>1872000+2811912</f>
        <v>4683912</v>
      </c>
      <c r="D29" s="15">
        <v>0</v>
      </c>
      <c r="E29" s="27">
        <v>10689</v>
      </c>
      <c r="F29" s="27">
        <v>423280</v>
      </c>
      <c r="G29" s="27">
        <v>451848</v>
      </c>
      <c r="H29" s="27"/>
      <c r="I29" s="16">
        <f t="shared" si="0"/>
        <v>885817</v>
      </c>
      <c r="J29" s="17">
        <f t="shared" si="1"/>
        <v>0.18911905262097153</v>
      </c>
      <c r="K29" s="71" t="s">
        <v>207</v>
      </c>
      <c r="L29" s="72"/>
      <c r="M29" s="1"/>
      <c r="N29" s="1"/>
      <c r="O29" s="1"/>
      <c r="P29" s="1"/>
      <c r="Q29" s="1"/>
      <c r="R29" s="1"/>
      <c r="S29" s="1"/>
      <c r="T29" s="1"/>
      <c r="U29" s="1"/>
      <c r="V29" s="1"/>
      <c r="W29" s="1"/>
      <c r="X29" s="1"/>
      <c r="Y29" s="1"/>
      <c r="Z29" s="1"/>
    </row>
    <row r="30" spans="1:26" ht="32.25" customHeight="1">
      <c r="A30" s="70" t="s">
        <v>31</v>
      </c>
      <c r="B30" s="68"/>
      <c r="C30" s="18">
        <f>1173671-922820</f>
        <v>250851</v>
      </c>
      <c r="D30" s="15">
        <v>0</v>
      </c>
      <c r="E30" s="27">
        <v>37995</v>
      </c>
      <c r="F30" s="27">
        <v>53163</v>
      </c>
      <c r="G30" s="27">
        <v>44878</v>
      </c>
      <c r="H30" s="27"/>
      <c r="I30" s="16">
        <f t="shared" si="0"/>
        <v>136036</v>
      </c>
      <c r="J30" s="17">
        <f t="shared" si="1"/>
        <v>0.54229801754826568</v>
      </c>
      <c r="K30" s="71" t="s">
        <v>32</v>
      </c>
      <c r="L30" s="72"/>
      <c r="M30" s="1"/>
      <c r="N30" s="1"/>
      <c r="O30" s="1"/>
      <c r="P30" s="1"/>
      <c r="Q30" s="1"/>
      <c r="R30" s="1"/>
      <c r="S30" s="1"/>
      <c r="T30" s="1"/>
      <c r="U30" s="1"/>
      <c r="V30" s="1"/>
      <c r="W30" s="1"/>
      <c r="X30" s="1"/>
      <c r="Y30" s="1"/>
      <c r="Z30" s="1"/>
    </row>
    <row r="31" spans="1:26" ht="24" customHeight="1">
      <c r="A31" s="70" t="s">
        <v>33</v>
      </c>
      <c r="B31" s="68"/>
      <c r="C31" s="18">
        <f>1985324-1662000</f>
        <v>323324</v>
      </c>
      <c r="D31" s="15">
        <v>0</v>
      </c>
      <c r="E31" s="27">
        <v>28463</v>
      </c>
      <c r="F31" s="27">
        <v>46592</v>
      </c>
      <c r="G31" s="27">
        <v>66156</v>
      </c>
      <c r="H31" s="27"/>
      <c r="I31" s="16">
        <f t="shared" si="0"/>
        <v>141211</v>
      </c>
      <c r="J31" s="17">
        <f t="shared" si="1"/>
        <v>0.43674765869530252</v>
      </c>
      <c r="K31" s="71" t="s">
        <v>32</v>
      </c>
      <c r="L31" s="72"/>
      <c r="M31" s="1"/>
      <c r="N31" s="1"/>
      <c r="O31" s="1"/>
      <c r="P31" s="1"/>
      <c r="Q31" s="1"/>
      <c r="R31" s="1"/>
      <c r="S31" s="1"/>
      <c r="T31" s="1"/>
      <c r="U31" s="1"/>
      <c r="V31" s="1"/>
      <c r="W31" s="1"/>
      <c r="X31" s="1"/>
      <c r="Y31" s="1"/>
      <c r="Z31" s="1"/>
    </row>
    <row r="32" spans="1:26" ht="34.5" customHeight="1">
      <c r="A32" s="70" t="s">
        <v>34</v>
      </c>
      <c r="B32" s="68"/>
      <c r="C32" s="18">
        <f>5300000-4050000</f>
        <v>1250000</v>
      </c>
      <c r="D32" s="15">
        <v>0</v>
      </c>
      <c r="E32" s="27">
        <v>90803</v>
      </c>
      <c r="F32" s="27">
        <v>249631</v>
      </c>
      <c r="G32" s="27">
        <v>384771</v>
      </c>
      <c r="H32" s="27"/>
      <c r="I32" s="16">
        <f t="shared" si="0"/>
        <v>725205</v>
      </c>
      <c r="J32" s="17">
        <f t="shared" si="1"/>
        <v>0.58016400000000001</v>
      </c>
      <c r="K32" s="71" t="s">
        <v>35</v>
      </c>
      <c r="L32" s="72"/>
      <c r="M32" s="1"/>
      <c r="N32" s="1"/>
      <c r="O32" s="1"/>
      <c r="P32" s="1"/>
      <c r="Q32" s="1"/>
      <c r="R32" s="1"/>
      <c r="S32" s="1"/>
      <c r="T32" s="1"/>
      <c r="U32" s="1"/>
      <c r="V32" s="1"/>
      <c r="W32" s="1"/>
      <c r="X32" s="1"/>
      <c r="Y32" s="1"/>
      <c r="Z32" s="1"/>
    </row>
    <row r="33" spans="1:26" ht="33" customHeight="1">
      <c r="A33" s="70" t="s">
        <v>36</v>
      </c>
      <c r="B33" s="68"/>
      <c r="C33" s="18">
        <f>720000-572000</f>
        <v>148000</v>
      </c>
      <c r="D33" s="15">
        <v>0</v>
      </c>
      <c r="E33" s="27">
        <v>0</v>
      </c>
      <c r="F33" s="27">
        <v>0</v>
      </c>
      <c r="G33" s="27">
        <v>8222</v>
      </c>
      <c r="H33" s="27"/>
      <c r="I33" s="16">
        <f t="shared" si="0"/>
        <v>8222</v>
      </c>
      <c r="J33" s="17">
        <f t="shared" si="1"/>
        <v>5.5554054054054051E-2</v>
      </c>
      <c r="K33" s="71" t="s">
        <v>231</v>
      </c>
      <c r="L33" s="72"/>
      <c r="M33" s="1"/>
      <c r="N33" s="1"/>
      <c r="O33" s="1"/>
      <c r="P33" s="1"/>
      <c r="Q33" s="1"/>
      <c r="R33" s="1"/>
      <c r="S33" s="1"/>
      <c r="T33" s="1"/>
      <c r="U33" s="1"/>
      <c r="V33" s="1"/>
      <c r="W33" s="1"/>
      <c r="X33" s="1"/>
      <c r="Y33" s="1"/>
      <c r="Z33" s="1"/>
    </row>
    <row r="34" spans="1:26" ht="36" customHeight="1">
      <c r="A34" s="70" t="s">
        <v>37</v>
      </c>
      <c r="B34" s="68"/>
      <c r="C34" s="18">
        <f>1553380-1378380</f>
        <v>175000</v>
      </c>
      <c r="D34" s="15">
        <v>0</v>
      </c>
      <c r="E34" s="27">
        <v>0</v>
      </c>
      <c r="F34" s="27">
        <v>30149</v>
      </c>
      <c r="G34" s="27">
        <v>32121</v>
      </c>
      <c r="H34" s="27"/>
      <c r="I34" s="16">
        <f t="shared" si="0"/>
        <v>62270</v>
      </c>
      <c r="J34" s="17">
        <f t="shared" si="1"/>
        <v>0.35582857142857144</v>
      </c>
      <c r="K34" s="71" t="s">
        <v>198</v>
      </c>
      <c r="L34" s="72"/>
      <c r="M34" s="1"/>
      <c r="N34" s="1"/>
      <c r="O34" s="1"/>
      <c r="P34" s="1"/>
      <c r="Q34" s="1"/>
      <c r="R34" s="1"/>
      <c r="S34" s="1"/>
      <c r="T34" s="1"/>
      <c r="U34" s="1"/>
      <c r="V34" s="1"/>
      <c r="W34" s="1"/>
      <c r="X34" s="1"/>
      <c r="Y34" s="1"/>
      <c r="Z34" s="1"/>
    </row>
    <row r="35" spans="1:26" ht="33" customHeight="1">
      <c r="A35" s="70" t="s">
        <v>38</v>
      </c>
      <c r="B35" s="68"/>
      <c r="C35" s="19">
        <f>3360+2483+6664+200000+215500+25500+185000</f>
        <v>638507</v>
      </c>
      <c r="D35" s="15">
        <v>0</v>
      </c>
      <c r="E35" s="27">
        <v>177740</v>
      </c>
      <c r="F35" s="27">
        <v>90490</v>
      </c>
      <c r="G35" s="27">
        <v>76681</v>
      </c>
      <c r="H35" s="27"/>
      <c r="I35" s="16">
        <f t="shared" si="0"/>
        <v>344911</v>
      </c>
      <c r="J35" s="17">
        <f t="shared" si="1"/>
        <v>0.54018358451825899</v>
      </c>
      <c r="K35" s="71" t="s">
        <v>208</v>
      </c>
      <c r="L35" s="72"/>
      <c r="M35" s="1"/>
      <c r="N35" s="1"/>
      <c r="O35" s="1"/>
      <c r="P35" s="1"/>
      <c r="Q35" s="1"/>
      <c r="R35" s="1"/>
      <c r="S35" s="1"/>
      <c r="T35" s="1"/>
      <c r="U35" s="1"/>
      <c r="V35" s="1"/>
      <c r="W35" s="1"/>
      <c r="X35" s="1"/>
      <c r="Y35" s="1"/>
      <c r="Z35" s="1"/>
    </row>
    <row r="36" spans="1:26" ht="24.75" customHeight="1">
      <c r="A36" s="70" t="s">
        <v>39</v>
      </c>
      <c r="B36" s="68"/>
      <c r="C36" s="18">
        <f>786993-486000</f>
        <v>300993</v>
      </c>
      <c r="D36" s="15">
        <v>0</v>
      </c>
      <c r="E36" s="27">
        <v>68107</v>
      </c>
      <c r="F36" s="27">
        <v>65823</v>
      </c>
      <c r="G36" s="27">
        <v>66705</v>
      </c>
      <c r="H36" s="27"/>
      <c r="I36" s="16">
        <f t="shared" si="0"/>
        <v>200635</v>
      </c>
      <c r="J36" s="17">
        <f t="shared" si="1"/>
        <v>0.66657696358387075</v>
      </c>
      <c r="K36" s="71" t="s">
        <v>205</v>
      </c>
      <c r="L36" s="72"/>
      <c r="M36" s="1"/>
      <c r="N36" s="1"/>
      <c r="O36" s="1"/>
      <c r="P36" s="1"/>
      <c r="Q36" s="1"/>
      <c r="R36" s="1"/>
      <c r="S36" s="1"/>
      <c r="T36" s="1"/>
      <c r="U36" s="1"/>
      <c r="V36" s="1"/>
      <c r="W36" s="1"/>
      <c r="X36" s="1"/>
      <c r="Y36" s="1"/>
      <c r="Z36" s="1"/>
    </row>
    <row r="37" spans="1:26" ht="45" customHeight="1">
      <c r="A37" s="70" t="s">
        <v>40</v>
      </c>
      <c r="B37" s="68"/>
      <c r="C37" s="19">
        <f>929574+1511142+753870+30000+300000+740000+50000-228008</f>
        <v>4086578</v>
      </c>
      <c r="D37" s="15">
        <v>0</v>
      </c>
      <c r="E37" s="27">
        <v>463884</v>
      </c>
      <c r="F37" s="27">
        <v>852592</v>
      </c>
      <c r="G37" s="27">
        <v>736054</v>
      </c>
      <c r="H37" s="27"/>
      <c r="I37" s="16">
        <f t="shared" si="0"/>
        <v>2052530</v>
      </c>
      <c r="J37" s="17">
        <f t="shared" si="1"/>
        <v>0.50226130518003087</v>
      </c>
      <c r="K37" s="71" t="s">
        <v>255</v>
      </c>
      <c r="L37" s="72"/>
      <c r="M37" s="1"/>
      <c r="N37" s="1"/>
      <c r="O37" s="1"/>
      <c r="P37" s="1"/>
      <c r="Q37" s="1"/>
      <c r="R37" s="1"/>
      <c r="S37" s="1"/>
      <c r="T37" s="1"/>
      <c r="U37" s="1"/>
      <c r="V37" s="1"/>
      <c r="W37" s="1"/>
      <c r="X37" s="1"/>
      <c r="Y37" s="1"/>
      <c r="Z37" s="1"/>
    </row>
    <row r="38" spans="1:26" ht="33.75" customHeight="1">
      <c r="A38" s="70" t="s">
        <v>41</v>
      </c>
      <c r="B38" s="68"/>
      <c r="C38" s="19">
        <f>1497000+50000</f>
        <v>1547000</v>
      </c>
      <c r="D38" s="15">
        <v>0</v>
      </c>
      <c r="E38" s="27">
        <v>748500</v>
      </c>
      <c r="F38" s="27">
        <v>0</v>
      </c>
      <c r="G38" s="27">
        <v>428569</v>
      </c>
      <c r="H38" s="27"/>
      <c r="I38" s="16">
        <f t="shared" si="0"/>
        <v>1177069</v>
      </c>
      <c r="J38" s="17">
        <f t="shared" si="1"/>
        <v>0.76087201034259855</v>
      </c>
      <c r="K38" s="71" t="s">
        <v>238</v>
      </c>
      <c r="L38" s="72"/>
      <c r="M38" s="1"/>
      <c r="N38" s="1"/>
      <c r="O38" s="1"/>
      <c r="P38" s="1"/>
      <c r="Q38" s="1"/>
      <c r="R38" s="1"/>
      <c r="S38" s="1"/>
      <c r="T38" s="1"/>
      <c r="U38" s="1"/>
      <c r="V38" s="1"/>
      <c r="W38" s="1"/>
      <c r="X38" s="1"/>
      <c r="Y38" s="1"/>
      <c r="Z38" s="1"/>
    </row>
    <row r="39" spans="1:26" ht="24" customHeight="1">
      <c r="A39" s="70" t="s">
        <v>42</v>
      </c>
      <c r="B39" s="68"/>
      <c r="C39" s="14">
        <v>50000</v>
      </c>
      <c r="D39" s="15">
        <v>0</v>
      </c>
      <c r="E39" s="27">
        <v>0</v>
      </c>
      <c r="F39" s="27">
        <v>0</v>
      </c>
      <c r="G39" s="27">
        <v>0</v>
      </c>
      <c r="H39" s="27"/>
      <c r="I39" s="16">
        <f t="shared" si="0"/>
        <v>0</v>
      </c>
      <c r="J39" s="17">
        <f t="shared" si="1"/>
        <v>0</v>
      </c>
      <c r="K39" s="79" t="s">
        <v>209</v>
      </c>
      <c r="L39" s="80"/>
      <c r="M39" s="1"/>
      <c r="N39" s="1"/>
      <c r="O39" s="1"/>
      <c r="P39" s="1"/>
      <c r="Q39" s="1"/>
      <c r="R39" s="1"/>
      <c r="S39" s="1"/>
      <c r="T39" s="1"/>
      <c r="U39" s="1"/>
      <c r="V39" s="1"/>
      <c r="W39" s="1"/>
      <c r="X39" s="1"/>
      <c r="Y39" s="1"/>
      <c r="Z39" s="1"/>
    </row>
    <row r="40" spans="1:26" ht="36" customHeight="1">
      <c r="A40" s="70" t="s">
        <v>43</v>
      </c>
      <c r="B40" s="68"/>
      <c r="C40" s="14">
        <v>60000</v>
      </c>
      <c r="D40" s="15">
        <v>0</v>
      </c>
      <c r="E40" s="27">
        <v>0</v>
      </c>
      <c r="F40" s="27">
        <v>0</v>
      </c>
      <c r="G40" s="27">
        <v>259990</v>
      </c>
      <c r="H40" s="27"/>
      <c r="I40" s="16">
        <f t="shared" si="0"/>
        <v>259990</v>
      </c>
      <c r="J40" s="17">
        <f t="shared" si="1"/>
        <v>4.3331666666666671</v>
      </c>
      <c r="K40" s="71" t="s">
        <v>240</v>
      </c>
      <c r="L40" s="72"/>
      <c r="M40" s="1"/>
      <c r="N40" s="1"/>
      <c r="O40" s="1"/>
      <c r="P40" s="1"/>
      <c r="Q40" s="1"/>
      <c r="R40" s="1"/>
      <c r="S40" s="1"/>
      <c r="T40" s="1"/>
      <c r="U40" s="1"/>
      <c r="V40" s="1"/>
      <c r="W40" s="1"/>
      <c r="X40" s="1"/>
      <c r="Y40" s="1"/>
      <c r="Z40" s="1"/>
    </row>
    <row r="41" spans="1:26" ht="35.25" customHeight="1">
      <c r="A41" s="70" t="s">
        <v>44</v>
      </c>
      <c r="B41" s="68"/>
      <c r="C41" s="14">
        <v>80000</v>
      </c>
      <c r="D41" s="15">
        <v>0</v>
      </c>
      <c r="E41" s="27">
        <v>0</v>
      </c>
      <c r="F41" s="27">
        <v>10257</v>
      </c>
      <c r="G41" s="27">
        <v>36184</v>
      </c>
      <c r="H41" s="27"/>
      <c r="I41" s="16">
        <f t="shared" si="0"/>
        <v>46441</v>
      </c>
      <c r="J41" s="17">
        <f t="shared" si="1"/>
        <v>0.58051249999999999</v>
      </c>
      <c r="K41" s="71" t="s">
        <v>215</v>
      </c>
      <c r="L41" s="72"/>
      <c r="M41" s="1"/>
      <c r="N41" s="1"/>
      <c r="O41" s="1"/>
      <c r="P41" s="1"/>
      <c r="Q41" s="1"/>
      <c r="R41" s="1"/>
      <c r="S41" s="1"/>
      <c r="T41" s="1"/>
      <c r="U41" s="1"/>
      <c r="V41" s="1"/>
      <c r="W41" s="1"/>
      <c r="X41" s="1"/>
      <c r="Y41" s="1"/>
      <c r="Z41" s="1"/>
    </row>
    <row r="42" spans="1:26" ht="46.5" customHeight="1">
      <c r="A42" s="70" t="s">
        <v>45</v>
      </c>
      <c r="B42" s="68"/>
      <c r="C42" s="14">
        <v>400000</v>
      </c>
      <c r="D42" s="15">
        <v>0</v>
      </c>
      <c r="E42" s="27">
        <v>0</v>
      </c>
      <c r="F42" s="27">
        <v>25400</v>
      </c>
      <c r="G42" s="27">
        <v>0</v>
      </c>
      <c r="H42" s="27"/>
      <c r="I42" s="16">
        <f t="shared" si="0"/>
        <v>25400</v>
      </c>
      <c r="J42" s="17">
        <f t="shared" si="1"/>
        <v>6.3500000000000001E-2</v>
      </c>
      <c r="K42" s="71" t="s">
        <v>249</v>
      </c>
      <c r="L42" s="72"/>
      <c r="M42" s="1"/>
      <c r="N42" s="1"/>
      <c r="O42" s="1"/>
      <c r="P42" s="1"/>
      <c r="Q42" s="1"/>
      <c r="R42" s="1"/>
      <c r="S42" s="1"/>
      <c r="T42" s="1"/>
      <c r="U42" s="1"/>
      <c r="V42" s="1"/>
      <c r="W42" s="1"/>
      <c r="X42" s="1"/>
      <c r="Y42" s="1"/>
      <c r="Z42" s="1"/>
    </row>
    <row r="43" spans="1:26" ht="32.25" customHeight="1">
      <c r="A43" s="70" t="s">
        <v>46</v>
      </c>
      <c r="B43" s="68"/>
      <c r="C43" s="14">
        <v>400000</v>
      </c>
      <c r="D43" s="15">
        <v>0</v>
      </c>
      <c r="E43" s="27">
        <v>0</v>
      </c>
      <c r="F43" s="27">
        <v>0</v>
      </c>
      <c r="G43" s="27">
        <v>0</v>
      </c>
      <c r="H43" s="27"/>
      <c r="I43" s="16">
        <f t="shared" si="0"/>
        <v>0</v>
      </c>
      <c r="J43" s="17">
        <f t="shared" si="1"/>
        <v>0</v>
      </c>
      <c r="K43" s="71" t="s">
        <v>239</v>
      </c>
      <c r="L43" s="72"/>
      <c r="M43" s="1"/>
      <c r="N43" s="1"/>
      <c r="O43" s="1"/>
      <c r="P43" s="1"/>
      <c r="Q43" s="1"/>
      <c r="R43" s="1"/>
      <c r="S43" s="1"/>
      <c r="T43" s="1"/>
      <c r="U43" s="1"/>
      <c r="V43" s="1"/>
      <c r="W43" s="1"/>
      <c r="X43" s="1"/>
      <c r="Y43" s="1"/>
      <c r="Z43" s="1"/>
    </row>
    <row r="44" spans="1:26" ht="42" customHeight="1">
      <c r="A44" s="70" t="s">
        <v>47</v>
      </c>
      <c r="B44" s="68"/>
      <c r="C44" s="19">
        <f>80000+470000</f>
        <v>550000</v>
      </c>
      <c r="D44" s="15">
        <v>0</v>
      </c>
      <c r="E44" s="27">
        <v>522500</v>
      </c>
      <c r="F44" s="27">
        <v>0</v>
      </c>
      <c r="G44" s="27">
        <v>0</v>
      </c>
      <c r="H44" s="27"/>
      <c r="I44" s="16">
        <f t="shared" si="0"/>
        <v>522500</v>
      </c>
      <c r="J44" s="17">
        <f t="shared" si="1"/>
        <v>0.95</v>
      </c>
      <c r="K44" s="71" t="s">
        <v>197</v>
      </c>
      <c r="L44" s="72"/>
      <c r="M44" s="1"/>
      <c r="N44" s="1"/>
      <c r="O44" s="1"/>
      <c r="P44" s="1"/>
      <c r="Q44" s="1"/>
      <c r="R44" s="1"/>
      <c r="S44" s="1"/>
      <c r="T44" s="1"/>
      <c r="U44" s="1"/>
      <c r="V44" s="1"/>
      <c r="W44" s="1"/>
      <c r="X44" s="1"/>
      <c r="Y44" s="1"/>
      <c r="Z44" s="1"/>
    </row>
    <row r="45" spans="1:26" ht="39" customHeight="1">
      <c r="A45" s="70" t="s">
        <v>48</v>
      </c>
      <c r="B45" s="68"/>
      <c r="C45" s="19">
        <f>1925200+60000</f>
        <v>1985200</v>
      </c>
      <c r="D45" s="15">
        <v>0</v>
      </c>
      <c r="E45" s="27">
        <v>0</v>
      </c>
      <c r="F45" s="27">
        <v>426986</v>
      </c>
      <c r="G45" s="27">
        <v>518053</v>
      </c>
      <c r="H45" s="27"/>
      <c r="I45" s="16">
        <f t="shared" si="0"/>
        <v>945039</v>
      </c>
      <c r="J45" s="17">
        <f t="shared" si="1"/>
        <v>0.47604221237154948</v>
      </c>
      <c r="K45" s="71" t="s">
        <v>35</v>
      </c>
      <c r="L45" s="72"/>
      <c r="M45" s="1"/>
      <c r="N45" s="1"/>
      <c r="O45" s="1"/>
      <c r="P45" s="1"/>
      <c r="Q45" s="1"/>
      <c r="R45" s="1"/>
      <c r="S45" s="1"/>
      <c r="T45" s="1"/>
      <c r="U45" s="1"/>
      <c r="V45" s="1"/>
      <c r="W45" s="1"/>
      <c r="X45" s="1"/>
      <c r="Y45" s="1"/>
      <c r="Z45" s="1"/>
    </row>
    <row r="46" spans="1:26" ht="39.75" customHeight="1">
      <c r="A46" s="70" t="s">
        <v>49</v>
      </c>
      <c r="B46" s="68"/>
      <c r="C46" s="18">
        <f>1434903-1291412</f>
        <v>143491</v>
      </c>
      <c r="D46" s="15">
        <v>0</v>
      </c>
      <c r="E46" s="27">
        <v>0</v>
      </c>
      <c r="F46" s="27">
        <v>0</v>
      </c>
      <c r="G46" s="27">
        <v>0</v>
      </c>
      <c r="H46" s="27"/>
      <c r="I46" s="16">
        <f t="shared" si="0"/>
        <v>0</v>
      </c>
      <c r="J46" s="17">
        <f t="shared" si="1"/>
        <v>0</v>
      </c>
      <c r="K46" s="71" t="s">
        <v>50</v>
      </c>
      <c r="L46" s="72"/>
      <c r="M46" s="1"/>
      <c r="N46" s="1"/>
      <c r="O46" s="1"/>
      <c r="P46" s="1"/>
      <c r="Q46" s="1"/>
      <c r="R46" s="1"/>
      <c r="S46" s="1"/>
      <c r="T46" s="1"/>
      <c r="U46" s="1"/>
      <c r="V46" s="1"/>
      <c r="W46" s="1"/>
      <c r="X46" s="1"/>
      <c r="Y46" s="1"/>
      <c r="Z46" s="1"/>
    </row>
    <row r="47" spans="1:26" ht="42.75" customHeight="1">
      <c r="A47" s="70" t="s">
        <v>51</v>
      </c>
      <c r="B47" s="68"/>
      <c r="C47" s="18">
        <f>30206000-3536957-5557758</f>
        <v>21111285</v>
      </c>
      <c r="D47" s="15">
        <v>0</v>
      </c>
      <c r="E47" s="27">
        <v>0</v>
      </c>
      <c r="F47" s="27">
        <v>4468365</v>
      </c>
      <c r="G47" s="27">
        <v>4427917</v>
      </c>
      <c r="H47" s="27"/>
      <c r="I47" s="16">
        <f t="shared" si="0"/>
        <v>8896282</v>
      </c>
      <c r="J47" s="17">
        <f t="shared" si="1"/>
        <v>0.421399360578951</v>
      </c>
      <c r="K47" s="71" t="s">
        <v>253</v>
      </c>
      <c r="L47" s="72"/>
      <c r="M47" s="1"/>
      <c r="N47" s="1"/>
      <c r="O47" s="1"/>
      <c r="P47" s="1"/>
      <c r="Q47" s="1"/>
      <c r="R47" s="1"/>
      <c r="S47" s="1"/>
      <c r="T47" s="1"/>
      <c r="U47" s="1"/>
      <c r="V47" s="1"/>
      <c r="W47" s="1"/>
      <c r="X47" s="1"/>
      <c r="Y47" s="1"/>
      <c r="Z47" s="1"/>
    </row>
    <row r="48" spans="1:26" ht="33" customHeight="1">
      <c r="A48" s="70" t="s">
        <v>52</v>
      </c>
      <c r="B48" s="68"/>
      <c r="C48" s="14">
        <v>30000</v>
      </c>
      <c r="D48" s="15">
        <v>0</v>
      </c>
      <c r="E48" s="27">
        <v>0</v>
      </c>
      <c r="F48" s="27">
        <v>0</v>
      </c>
      <c r="G48" s="27">
        <v>0</v>
      </c>
      <c r="H48" s="27"/>
      <c r="I48" s="16">
        <f t="shared" si="0"/>
        <v>0</v>
      </c>
      <c r="J48" s="17">
        <f t="shared" si="1"/>
        <v>0</v>
      </c>
      <c r="K48" s="71" t="s">
        <v>206</v>
      </c>
      <c r="L48" s="72"/>
      <c r="M48" s="1"/>
      <c r="N48" s="1"/>
      <c r="O48" s="1"/>
      <c r="P48" s="1"/>
      <c r="Q48" s="1"/>
      <c r="R48" s="1"/>
      <c r="S48" s="1"/>
      <c r="T48" s="1"/>
      <c r="U48" s="1"/>
      <c r="V48" s="1"/>
      <c r="W48" s="1"/>
      <c r="X48" s="1"/>
      <c r="Y48" s="1"/>
      <c r="Z48" s="1"/>
    </row>
    <row r="49" spans="1:26" ht="30.75" customHeight="1">
      <c r="A49" s="70" t="s">
        <v>53</v>
      </c>
      <c r="B49" s="68"/>
      <c r="C49" s="14">
        <v>100000</v>
      </c>
      <c r="D49" s="15">
        <v>0</v>
      </c>
      <c r="E49" s="27">
        <v>35450</v>
      </c>
      <c r="F49" s="27">
        <v>0</v>
      </c>
      <c r="G49" s="27">
        <v>0</v>
      </c>
      <c r="H49" s="27"/>
      <c r="I49" s="16">
        <f t="shared" si="0"/>
        <v>35450</v>
      </c>
      <c r="J49" s="17">
        <f t="shared" si="1"/>
        <v>0.35449999999999998</v>
      </c>
      <c r="K49" s="71" t="s">
        <v>35</v>
      </c>
      <c r="L49" s="72"/>
      <c r="M49" s="1"/>
      <c r="N49" s="1"/>
      <c r="O49" s="1"/>
      <c r="P49" s="1"/>
      <c r="Q49" s="1"/>
      <c r="R49" s="1"/>
      <c r="S49" s="1"/>
      <c r="T49" s="1"/>
      <c r="U49" s="1"/>
      <c r="V49" s="1"/>
      <c r="W49" s="1"/>
      <c r="X49" s="1"/>
      <c r="Y49" s="1"/>
      <c r="Z49" s="1"/>
    </row>
    <row r="50" spans="1:26" ht="27.75" customHeight="1">
      <c r="A50" s="70" t="s">
        <v>54</v>
      </c>
      <c r="B50" s="68"/>
      <c r="C50" s="14">
        <v>1941088</v>
      </c>
      <c r="D50" s="15">
        <v>0</v>
      </c>
      <c r="E50" s="27">
        <v>510019</v>
      </c>
      <c r="F50" s="27">
        <v>553423</v>
      </c>
      <c r="G50" s="27">
        <v>60833</v>
      </c>
      <c r="H50" s="27"/>
      <c r="I50" s="16">
        <f t="shared" si="0"/>
        <v>1124275</v>
      </c>
      <c r="J50" s="17">
        <f t="shared" si="1"/>
        <v>0.57919836710133699</v>
      </c>
      <c r="K50" s="71" t="s">
        <v>210</v>
      </c>
      <c r="L50" s="72"/>
      <c r="M50" s="1"/>
      <c r="N50" s="1"/>
      <c r="O50" s="1"/>
      <c r="P50" s="1"/>
      <c r="Q50" s="1"/>
      <c r="R50" s="1"/>
      <c r="S50" s="1"/>
      <c r="T50" s="1"/>
      <c r="U50" s="1"/>
      <c r="V50" s="1"/>
      <c r="W50" s="1"/>
      <c r="X50" s="1"/>
      <c r="Y50" s="1"/>
      <c r="Z50" s="1"/>
    </row>
    <row r="51" spans="1:26" ht="49.5" customHeight="1">
      <c r="A51" s="70" t="s">
        <v>55</v>
      </c>
      <c r="B51" s="68"/>
      <c r="C51" s="20">
        <f>21894264+571821-(16720113+514639)-117480</f>
        <v>5113853</v>
      </c>
      <c r="D51" s="15">
        <v>0</v>
      </c>
      <c r="E51" s="27">
        <v>918248</v>
      </c>
      <c r="F51" s="27">
        <v>943591</v>
      </c>
      <c r="G51" s="27">
        <v>1041333</v>
      </c>
      <c r="H51" s="27"/>
      <c r="I51" s="16">
        <f t="shared" si="0"/>
        <v>2903172</v>
      </c>
      <c r="J51" s="17">
        <f t="shared" si="1"/>
        <v>0.5677073627263044</v>
      </c>
      <c r="K51" s="71" t="s">
        <v>254</v>
      </c>
      <c r="L51" s="72"/>
      <c r="M51" s="1"/>
      <c r="N51" s="21"/>
      <c r="O51" s="21"/>
      <c r="P51" s="1"/>
      <c r="Q51" s="1"/>
      <c r="R51" s="5"/>
      <c r="S51" s="1"/>
      <c r="T51" s="1"/>
      <c r="U51" s="1"/>
      <c r="V51" s="1"/>
      <c r="W51" s="1"/>
      <c r="X51" s="1"/>
      <c r="Y51" s="1"/>
      <c r="Z51" s="1"/>
    </row>
    <row r="52" spans="1:26" ht="39.75" customHeight="1">
      <c r="A52" s="81" t="s">
        <v>56</v>
      </c>
      <c r="B52" s="68"/>
      <c r="C52" s="20">
        <f>26420000-3963000</f>
        <v>22457000</v>
      </c>
      <c r="D52" s="15">
        <v>0</v>
      </c>
      <c r="E52" s="27">
        <v>0</v>
      </c>
      <c r="F52" s="27">
        <v>0</v>
      </c>
      <c r="G52" s="27">
        <v>0</v>
      </c>
      <c r="H52" s="27"/>
      <c r="I52" s="16">
        <f t="shared" si="0"/>
        <v>0</v>
      </c>
      <c r="J52" s="17">
        <f t="shared" si="1"/>
        <v>0</v>
      </c>
      <c r="K52" s="71" t="s">
        <v>281</v>
      </c>
      <c r="L52" s="72"/>
      <c r="M52" s="1"/>
      <c r="N52" s="1"/>
      <c r="O52" s="1"/>
      <c r="P52" s="1"/>
      <c r="Q52" s="1"/>
      <c r="R52" s="1"/>
      <c r="S52" s="1"/>
      <c r="T52" s="1"/>
      <c r="U52" s="1"/>
      <c r="V52" s="1"/>
      <c r="W52" s="1"/>
      <c r="X52" s="1"/>
      <c r="Y52" s="1"/>
      <c r="Z52" s="1"/>
    </row>
    <row r="53" spans="1:26" ht="38.25" customHeight="1">
      <c r="A53" s="81" t="s">
        <v>57</v>
      </c>
      <c r="B53" s="68"/>
      <c r="C53" s="14">
        <v>100000</v>
      </c>
      <c r="D53" s="15">
        <v>0</v>
      </c>
      <c r="E53" s="27">
        <v>0</v>
      </c>
      <c r="F53" s="27">
        <v>0</v>
      </c>
      <c r="G53" s="27">
        <v>0</v>
      </c>
      <c r="H53" s="27"/>
      <c r="I53" s="16">
        <f t="shared" si="0"/>
        <v>0</v>
      </c>
      <c r="J53" s="17">
        <f t="shared" si="1"/>
        <v>0</v>
      </c>
      <c r="K53" s="71" t="s">
        <v>222</v>
      </c>
      <c r="L53" s="72"/>
      <c r="M53" s="1"/>
      <c r="N53" s="1"/>
      <c r="O53" s="1"/>
      <c r="P53" s="1"/>
      <c r="Q53" s="1"/>
      <c r="R53" s="1"/>
      <c r="S53" s="1"/>
      <c r="T53" s="1"/>
      <c r="U53" s="1"/>
      <c r="V53" s="1"/>
      <c r="W53" s="1"/>
      <c r="X53" s="1"/>
      <c r="Y53" s="1"/>
      <c r="Z53" s="1"/>
    </row>
    <row r="54" spans="1:26" ht="42" customHeight="1">
      <c r="A54" s="81" t="s">
        <v>58</v>
      </c>
      <c r="B54" s="68"/>
      <c r="C54" s="14">
        <v>120000</v>
      </c>
      <c r="D54" s="15">
        <v>0</v>
      </c>
      <c r="E54" s="27">
        <v>111500</v>
      </c>
      <c r="F54" s="27">
        <v>18000</v>
      </c>
      <c r="G54" s="27">
        <v>0</v>
      </c>
      <c r="H54" s="27"/>
      <c r="I54" s="16">
        <f t="shared" si="0"/>
        <v>129500</v>
      </c>
      <c r="J54" s="17">
        <f t="shared" si="1"/>
        <v>1.0791666666666666</v>
      </c>
      <c r="K54" s="71" t="s">
        <v>241</v>
      </c>
      <c r="L54" s="72"/>
      <c r="M54" s="1"/>
      <c r="N54" s="1"/>
      <c r="O54" s="1"/>
      <c r="P54" s="1"/>
      <c r="Q54" s="1"/>
      <c r="R54" s="1"/>
      <c r="S54" s="1"/>
      <c r="T54" s="1"/>
      <c r="U54" s="1"/>
      <c r="V54" s="1"/>
      <c r="W54" s="1"/>
      <c r="X54" s="1"/>
      <c r="Y54" s="1"/>
      <c r="Z54" s="1"/>
    </row>
    <row r="55" spans="1:26" ht="45.75" customHeight="1">
      <c r="A55" s="81" t="s">
        <v>59</v>
      </c>
      <c r="B55" s="68"/>
      <c r="C55" s="14">
        <f>3900000-1500000</f>
        <v>2400000</v>
      </c>
      <c r="D55" s="15">
        <v>0</v>
      </c>
      <c r="E55" s="27">
        <v>0</v>
      </c>
      <c r="F55" s="27">
        <v>101940</v>
      </c>
      <c r="G55" s="27">
        <v>209300</v>
      </c>
      <c r="H55" s="27"/>
      <c r="I55" s="16">
        <f t="shared" si="0"/>
        <v>311240</v>
      </c>
      <c r="J55" s="17">
        <f t="shared" si="1"/>
        <v>0.12968333333333334</v>
      </c>
      <c r="K55" s="71" t="s">
        <v>256</v>
      </c>
      <c r="L55" s="72"/>
      <c r="M55" s="1"/>
      <c r="N55" s="1"/>
      <c r="O55" s="1"/>
      <c r="P55" s="1"/>
      <c r="Q55" s="1"/>
      <c r="R55" s="1"/>
      <c r="S55" s="1"/>
      <c r="T55" s="1"/>
      <c r="U55" s="1"/>
      <c r="V55" s="1"/>
      <c r="W55" s="1"/>
      <c r="X55" s="1"/>
      <c r="Y55" s="1"/>
      <c r="Z55" s="1"/>
    </row>
    <row r="56" spans="1:26" ht="45" customHeight="1">
      <c r="A56" s="81" t="s">
        <v>61</v>
      </c>
      <c r="B56" s="68"/>
      <c r="C56" s="20">
        <f>89000-80000</f>
        <v>9000</v>
      </c>
      <c r="D56" s="15">
        <v>0</v>
      </c>
      <c r="E56" s="27">
        <v>0</v>
      </c>
      <c r="F56" s="27">
        <v>0</v>
      </c>
      <c r="G56" s="27">
        <v>0</v>
      </c>
      <c r="H56" s="27"/>
      <c r="I56" s="16">
        <f t="shared" si="0"/>
        <v>0</v>
      </c>
      <c r="J56" s="17">
        <f t="shared" si="1"/>
        <v>0</v>
      </c>
      <c r="K56" s="71" t="s">
        <v>50</v>
      </c>
      <c r="L56" s="72"/>
      <c r="M56" s="1"/>
      <c r="N56" s="1"/>
      <c r="O56" s="1"/>
      <c r="P56" s="1"/>
      <c r="Q56" s="1"/>
      <c r="R56" s="1"/>
      <c r="S56" s="1"/>
      <c r="T56" s="1"/>
      <c r="U56" s="1"/>
      <c r="V56" s="1"/>
      <c r="W56" s="1"/>
      <c r="X56" s="1"/>
      <c r="Y56" s="1"/>
      <c r="Z56" s="1"/>
    </row>
    <row r="57" spans="1:26" ht="28.5" customHeight="1">
      <c r="A57" s="81" t="s">
        <v>62</v>
      </c>
      <c r="B57" s="68"/>
      <c r="C57" s="20">
        <v>0</v>
      </c>
      <c r="D57" s="19">
        <f>2987099+3750000</f>
        <v>6737099</v>
      </c>
      <c r="E57" s="27">
        <v>0</v>
      </c>
      <c r="F57" s="27">
        <v>0</v>
      </c>
      <c r="G57" s="27">
        <v>2391876</v>
      </c>
      <c r="H57" s="27"/>
      <c r="I57" s="16">
        <f t="shared" si="0"/>
        <v>2391876</v>
      </c>
      <c r="J57" s="17">
        <f t="shared" si="1"/>
        <v>0.35503055543639778</v>
      </c>
      <c r="K57" s="71" t="s">
        <v>225</v>
      </c>
      <c r="L57" s="72"/>
      <c r="M57" s="1"/>
      <c r="N57" s="1"/>
      <c r="O57" s="1"/>
      <c r="P57" s="1"/>
      <c r="Q57" s="1"/>
      <c r="R57" s="1"/>
      <c r="S57" s="1"/>
      <c r="T57" s="1"/>
      <c r="U57" s="1"/>
      <c r="V57" s="1"/>
      <c r="W57" s="1"/>
      <c r="X57" s="1"/>
      <c r="Y57" s="1"/>
      <c r="Z57" s="1"/>
    </row>
    <row r="58" spans="1:26" ht="39" customHeight="1">
      <c r="A58" s="81" t="s">
        <v>63</v>
      </c>
      <c r="B58" s="68"/>
      <c r="C58" s="20">
        <v>0</v>
      </c>
      <c r="D58" s="19">
        <v>6885000</v>
      </c>
      <c r="E58" s="27">
        <v>0</v>
      </c>
      <c r="F58" s="27">
        <v>0</v>
      </c>
      <c r="G58" s="27">
        <v>0</v>
      </c>
      <c r="H58" s="27"/>
      <c r="I58" s="16">
        <f t="shared" si="0"/>
        <v>0</v>
      </c>
      <c r="J58" s="17">
        <f t="shared" si="1"/>
        <v>0</v>
      </c>
      <c r="K58" s="71" t="s">
        <v>282</v>
      </c>
      <c r="L58" s="72"/>
      <c r="M58" s="1"/>
      <c r="N58" s="1"/>
      <c r="O58" s="1"/>
      <c r="P58" s="1"/>
      <c r="Q58" s="1"/>
      <c r="R58" s="1"/>
      <c r="S58" s="1"/>
      <c r="T58" s="1"/>
      <c r="U58" s="1"/>
      <c r="V58" s="1"/>
      <c r="W58" s="1"/>
      <c r="X58" s="1"/>
      <c r="Y58" s="1"/>
      <c r="Z58" s="1"/>
    </row>
    <row r="59" spans="1:26" ht="18.75" customHeight="1">
      <c r="A59" s="83" t="s">
        <v>64</v>
      </c>
      <c r="B59" s="68"/>
      <c r="C59" s="22">
        <f t="shared" ref="C59:I59" si="2">SUM(C26:C58)</f>
        <v>71545706</v>
      </c>
      <c r="D59" s="22">
        <f t="shared" si="2"/>
        <v>13622099</v>
      </c>
      <c r="E59" s="22">
        <f t="shared" si="2"/>
        <v>3856292</v>
      </c>
      <c r="F59" s="22">
        <f t="shared" si="2"/>
        <v>9141481</v>
      </c>
      <c r="G59" s="22">
        <f>SUM(G26:G58)</f>
        <v>11372322</v>
      </c>
      <c r="H59" s="22">
        <f t="shared" si="2"/>
        <v>0</v>
      </c>
      <c r="I59" s="22">
        <f t="shared" si="2"/>
        <v>24370095</v>
      </c>
      <c r="J59" s="23">
        <f t="shared" si="1"/>
        <v>0.28614210498908593</v>
      </c>
      <c r="K59" s="84"/>
      <c r="L59" s="68"/>
      <c r="M59" s="1"/>
      <c r="N59" s="1"/>
      <c r="O59" s="1"/>
      <c r="P59" s="1"/>
      <c r="Q59" s="1"/>
      <c r="R59" s="1"/>
      <c r="S59" s="1"/>
      <c r="T59" s="1"/>
      <c r="U59" s="1"/>
      <c r="V59" s="1"/>
      <c r="W59" s="1"/>
      <c r="X59" s="1"/>
      <c r="Y59" s="1"/>
      <c r="Z59" s="1"/>
    </row>
    <row r="60" spans="1:26" ht="21.75" customHeight="1">
      <c r="A60" s="67" t="s">
        <v>65</v>
      </c>
      <c r="B60" s="68"/>
      <c r="C60" s="12"/>
      <c r="D60" s="13"/>
      <c r="E60" s="13"/>
      <c r="F60" s="13"/>
      <c r="G60" s="13"/>
      <c r="H60" s="13"/>
      <c r="I60" s="13"/>
      <c r="J60" s="13"/>
      <c r="K60" s="69"/>
      <c r="L60" s="68"/>
      <c r="M60" s="1"/>
      <c r="N60" s="1"/>
      <c r="O60" s="1"/>
      <c r="P60" s="1"/>
      <c r="Q60" s="1"/>
      <c r="R60" s="1"/>
      <c r="S60" s="1"/>
      <c r="T60" s="1"/>
      <c r="U60" s="1"/>
      <c r="V60" s="1"/>
      <c r="W60" s="1"/>
      <c r="X60" s="1"/>
      <c r="Y60" s="1"/>
      <c r="Z60" s="1"/>
    </row>
    <row r="61" spans="1:26" ht="26.25" customHeight="1">
      <c r="A61" s="70" t="s">
        <v>66</v>
      </c>
      <c r="B61" s="68"/>
      <c r="C61" s="24">
        <f>807908+807908</f>
        <v>1615816</v>
      </c>
      <c r="D61" s="15">
        <v>0</v>
      </c>
      <c r="E61" s="27">
        <v>451168</v>
      </c>
      <c r="F61" s="27">
        <v>352689</v>
      </c>
      <c r="G61" s="14">
        <v>353910</v>
      </c>
      <c r="H61" s="27"/>
      <c r="I61" s="16">
        <f t="shared" ref="I61:I66" si="3">SUM(E61:H61)</f>
        <v>1157767</v>
      </c>
      <c r="J61" s="17">
        <f t="shared" ref="J61:J67" si="4">IFERROR((I61/(C61+D61)),0)</f>
        <v>0.71652155938547457</v>
      </c>
      <c r="K61" s="71"/>
      <c r="L61" s="72"/>
      <c r="M61" s="1"/>
      <c r="N61" s="1"/>
      <c r="O61" s="1"/>
      <c r="P61" s="1"/>
      <c r="Q61" s="1"/>
      <c r="R61" s="1"/>
      <c r="S61" s="1"/>
      <c r="T61" s="1"/>
      <c r="U61" s="1"/>
      <c r="V61" s="1"/>
      <c r="W61" s="1"/>
      <c r="X61" s="1"/>
      <c r="Y61" s="1"/>
      <c r="Z61" s="1"/>
    </row>
    <row r="62" spans="1:26" ht="43.5" customHeight="1">
      <c r="A62" s="70" t="s">
        <v>67</v>
      </c>
      <c r="B62" s="68"/>
      <c r="C62" s="18">
        <f>100000+4488000-3165000</f>
        <v>1423000</v>
      </c>
      <c r="D62" s="15">
        <v>0</v>
      </c>
      <c r="E62" s="27">
        <v>325952</v>
      </c>
      <c r="F62" s="27">
        <v>243691</v>
      </c>
      <c r="G62" s="14">
        <v>246628</v>
      </c>
      <c r="H62" s="27"/>
      <c r="I62" s="16">
        <f t="shared" si="3"/>
        <v>816271</v>
      </c>
      <c r="J62" s="17">
        <f t="shared" si="4"/>
        <v>0.5736268446943078</v>
      </c>
      <c r="K62" s="71" t="s">
        <v>205</v>
      </c>
      <c r="L62" s="72"/>
      <c r="M62" s="1"/>
      <c r="N62" s="1"/>
      <c r="O62" s="1"/>
      <c r="P62" s="1"/>
      <c r="Q62" s="1"/>
      <c r="R62" s="1"/>
      <c r="S62" s="1"/>
      <c r="T62" s="1"/>
      <c r="U62" s="1"/>
      <c r="V62" s="1"/>
      <c r="W62" s="1"/>
      <c r="X62" s="1"/>
      <c r="Y62" s="1"/>
      <c r="Z62" s="1"/>
    </row>
    <row r="63" spans="1:26" ht="33" customHeight="1">
      <c r="A63" s="70" t="s">
        <v>68</v>
      </c>
      <c r="B63" s="68"/>
      <c r="C63" s="14">
        <v>457500</v>
      </c>
      <c r="D63" s="15">
        <v>0</v>
      </c>
      <c r="E63" s="27">
        <v>25731</v>
      </c>
      <c r="F63" s="27">
        <v>99090</v>
      </c>
      <c r="G63" s="27">
        <v>74932</v>
      </c>
      <c r="H63" s="27"/>
      <c r="I63" s="16">
        <f t="shared" si="3"/>
        <v>199753</v>
      </c>
      <c r="J63" s="17">
        <f t="shared" si="4"/>
        <v>0.43661857923497266</v>
      </c>
      <c r="K63" s="82" t="s">
        <v>69</v>
      </c>
      <c r="L63" s="72"/>
      <c r="M63" s="1"/>
      <c r="N63" s="1"/>
      <c r="O63" s="1"/>
      <c r="P63" s="1"/>
      <c r="Q63" s="1"/>
      <c r="R63" s="1"/>
      <c r="S63" s="1"/>
      <c r="T63" s="1"/>
      <c r="U63" s="1"/>
      <c r="V63" s="1"/>
      <c r="W63" s="1"/>
      <c r="X63" s="1"/>
      <c r="Y63" s="1"/>
      <c r="Z63" s="1"/>
    </row>
    <row r="64" spans="1:26" ht="25.5" customHeight="1">
      <c r="A64" s="70" t="s">
        <v>70</v>
      </c>
      <c r="B64" s="68"/>
      <c r="C64" s="14">
        <v>500000</v>
      </c>
      <c r="D64" s="15">
        <v>0</v>
      </c>
      <c r="E64" s="27">
        <v>0</v>
      </c>
      <c r="F64" s="27">
        <v>306907</v>
      </c>
      <c r="G64" s="27">
        <v>139607</v>
      </c>
      <c r="H64" s="27"/>
      <c r="I64" s="16">
        <f t="shared" si="3"/>
        <v>446514</v>
      </c>
      <c r="J64" s="17">
        <f t="shared" si="4"/>
        <v>0.89302800000000004</v>
      </c>
      <c r="K64" s="71"/>
      <c r="L64" s="72"/>
      <c r="M64" s="1"/>
      <c r="N64" s="1"/>
      <c r="O64" s="1"/>
      <c r="P64" s="1"/>
      <c r="Q64" s="1"/>
      <c r="R64" s="1"/>
      <c r="S64" s="1"/>
      <c r="T64" s="1"/>
      <c r="U64" s="1"/>
      <c r="V64" s="1"/>
      <c r="W64" s="1"/>
      <c r="X64" s="1"/>
      <c r="Y64" s="1"/>
      <c r="Z64" s="1"/>
    </row>
    <row r="65" spans="1:26" ht="39" customHeight="1">
      <c r="A65" s="70" t="s">
        <v>71</v>
      </c>
      <c r="B65" s="68"/>
      <c r="C65" s="14">
        <v>700000</v>
      </c>
      <c r="D65" s="15">
        <v>0</v>
      </c>
      <c r="E65" s="27">
        <v>30000</v>
      </c>
      <c r="F65" s="27">
        <v>150000</v>
      </c>
      <c r="G65" s="27">
        <v>232757</v>
      </c>
      <c r="H65" s="27"/>
      <c r="I65" s="16">
        <f t="shared" si="3"/>
        <v>412757</v>
      </c>
      <c r="J65" s="17">
        <f t="shared" si="4"/>
        <v>0.58965285714285709</v>
      </c>
      <c r="K65" s="71" t="s">
        <v>60</v>
      </c>
      <c r="L65" s="72"/>
      <c r="M65" s="1"/>
      <c r="N65" s="1"/>
      <c r="O65" s="1"/>
      <c r="P65" s="1"/>
      <c r="Q65" s="1"/>
      <c r="R65" s="1"/>
      <c r="S65" s="1"/>
      <c r="T65" s="1"/>
      <c r="U65" s="1"/>
      <c r="V65" s="1"/>
      <c r="W65" s="1"/>
      <c r="X65" s="1"/>
      <c r="Y65" s="1"/>
      <c r="Z65" s="1"/>
    </row>
    <row r="66" spans="1:26" ht="35.25" customHeight="1">
      <c r="A66" s="70" t="s">
        <v>72</v>
      </c>
      <c r="B66" s="68"/>
      <c r="C66" s="14">
        <v>1320000</v>
      </c>
      <c r="D66" s="15">
        <v>0</v>
      </c>
      <c r="E66" s="27">
        <v>0</v>
      </c>
      <c r="F66" s="27">
        <v>142115</v>
      </c>
      <c r="G66" s="27">
        <v>202785</v>
      </c>
      <c r="H66" s="27"/>
      <c r="I66" s="16">
        <f t="shared" si="3"/>
        <v>344900</v>
      </c>
      <c r="J66" s="17">
        <f t="shared" si="4"/>
        <v>0.26128787878787879</v>
      </c>
      <c r="K66" s="71" t="s">
        <v>73</v>
      </c>
      <c r="L66" s="72"/>
      <c r="M66" s="1"/>
      <c r="N66" s="1"/>
      <c r="O66" s="1"/>
      <c r="P66" s="1"/>
      <c r="Q66" s="1"/>
      <c r="R66" s="1"/>
      <c r="S66" s="1"/>
      <c r="T66" s="1"/>
      <c r="U66" s="1"/>
      <c r="V66" s="1"/>
      <c r="W66" s="1"/>
      <c r="X66" s="1"/>
      <c r="Y66" s="1"/>
      <c r="Z66" s="1"/>
    </row>
    <row r="67" spans="1:26" ht="18.75" customHeight="1">
      <c r="A67" s="83" t="s">
        <v>64</v>
      </c>
      <c r="B67" s="68"/>
      <c r="C67" s="22">
        <f t="shared" ref="C67:I67" si="5">SUM(C61:C66)</f>
        <v>6016316</v>
      </c>
      <c r="D67" s="22">
        <f t="shared" si="5"/>
        <v>0</v>
      </c>
      <c r="E67" s="22">
        <f t="shared" si="5"/>
        <v>832851</v>
      </c>
      <c r="F67" s="22">
        <f t="shared" si="5"/>
        <v>1294492</v>
      </c>
      <c r="G67" s="22">
        <f t="shared" si="5"/>
        <v>1250619</v>
      </c>
      <c r="H67" s="22">
        <f t="shared" si="5"/>
        <v>0</v>
      </c>
      <c r="I67" s="22">
        <f t="shared" si="5"/>
        <v>3377962</v>
      </c>
      <c r="J67" s="23">
        <f t="shared" si="4"/>
        <v>0.56146685114279238</v>
      </c>
      <c r="K67" s="84"/>
      <c r="L67" s="68"/>
      <c r="M67" s="1"/>
      <c r="N67" s="1"/>
      <c r="O67" s="1"/>
      <c r="P67" s="1"/>
      <c r="Q67" s="1"/>
      <c r="R67" s="1"/>
      <c r="S67" s="1"/>
      <c r="T67" s="1"/>
      <c r="U67" s="1"/>
      <c r="V67" s="1"/>
      <c r="W67" s="1"/>
      <c r="X67" s="1"/>
      <c r="Y67" s="1"/>
      <c r="Z67" s="1"/>
    </row>
    <row r="68" spans="1:26" ht="21.75" customHeight="1">
      <c r="A68" s="67" t="s">
        <v>74</v>
      </c>
      <c r="B68" s="68"/>
      <c r="C68" s="12"/>
      <c r="D68" s="13"/>
      <c r="E68" s="13"/>
      <c r="F68" s="13"/>
      <c r="G68" s="13"/>
      <c r="H68" s="13"/>
      <c r="I68" s="13"/>
      <c r="J68" s="13"/>
      <c r="K68" s="69"/>
      <c r="L68" s="68"/>
      <c r="M68" s="1"/>
      <c r="N68" s="1"/>
      <c r="O68" s="1"/>
      <c r="P68" s="1"/>
      <c r="Q68" s="1"/>
      <c r="R68" s="1"/>
      <c r="S68" s="1"/>
      <c r="T68" s="1"/>
      <c r="U68" s="1"/>
      <c r="V68" s="1"/>
      <c r="W68" s="1"/>
      <c r="X68" s="1"/>
      <c r="Y68" s="1"/>
      <c r="Z68" s="1"/>
    </row>
    <row r="69" spans="1:26" ht="36.75" customHeight="1">
      <c r="A69" s="70" t="s">
        <v>75</v>
      </c>
      <c r="B69" s="68"/>
      <c r="C69" s="24">
        <f>400000+400000</f>
        <v>800000</v>
      </c>
      <c r="D69" s="15">
        <v>0</v>
      </c>
      <c r="E69" s="27">
        <v>0</v>
      </c>
      <c r="F69" s="27">
        <v>0</v>
      </c>
      <c r="G69" s="27">
        <v>172000</v>
      </c>
      <c r="H69" s="27"/>
      <c r="I69" s="16">
        <f t="shared" ref="I69:I88" si="6">SUM(E69:H69)</f>
        <v>172000</v>
      </c>
      <c r="J69" s="17">
        <f t="shared" ref="J69:J89" si="7">IFERROR((I69/(C69+D69)),0)</f>
        <v>0.215</v>
      </c>
      <c r="K69" s="71" t="s">
        <v>226</v>
      </c>
      <c r="L69" s="72"/>
      <c r="M69" s="1"/>
      <c r="N69" s="1"/>
      <c r="O69" s="1"/>
      <c r="P69" s="1"/>
      <c r="Q69" s="1"/>
      <c r="R69" s="1"/>
      <c r="S69" s="1"/>
      <c r="T69" s="1"/>
      <c r="U69" s="1"/>
      <c r="V69" s="1"/>
      <c r="W69" s="1"/>
      <c r="X69" s="1"/>
      <c r="Y69" s="1"/>
      <c r="Z69" s="1"/>
    </row>
    <row r="70" spans="1:26" ht="36" customHeight="1">
      <c r="A70" s="70" t="s">
        <v>76</v>
      </c>
      <c r="B70" s="68"/>
      <c r="C70" s="18">
        <f>1313520+65868570-(1285200+63889090)</f>
        <v>2007800</v>
      </c>
      <c r="D70" s="15">
        <v>0</v>
      </c>
      <c r="E70" s="27">
        <v>0</v>
      </c>
      <c r="F70" s="27">
        <v>456890</v>
      </c>
      <c r="G70" s="27">
        <v>518274</v>
      </c>
      <c r="H70" s="27"/>
      <c r="I70" s="16">
        <f t="shared" si="6"/>
        <v>975164</v>
      </c>
      <c r="J70" s="17">
        <f t="shared" si="7"/>
        <v>0.48568781751170437</v>
      </c>
      <c r="K70" s="71" t="s">
        <v>199</v>
      </c>
      <c r="L70" s="72"/>
      <c r="M70" s="1"/>
      <c r="N70" s="1"/>
      <c r="O70" s="1"/>
      <c r="P70" s="1"/>
      <c r="Q70" s="1"/>
      <c r="R70" s="1"/>
      <c r="S70" s="1"/>
      <c r="T70" s="1"/>
      <c r="U70" s="1"/>
      <c r="V70" s="1"/>
      <c r="W70" s="1"/>
      <c r="X70" s="1"/>
      <c r="Y70" s="1"/>
      <c r="Z70" s="1"/>
    </row>
    <row r="71" spans="1:26" ht="30" customHeight="1">
      <c r="A71" s="70" t="s">
        <v>77</v>
      </c>
      <c r="B71" s="68"/>
      <c r="C71" s="14">
        <v>130000</v>
      </c>
      <c r="D71" s="15">
        <v>0</v>
      </c>
      <c r="E71" s="27">
        <v>0</v>
      </c>
      <c r="F71" s="27">
        <v>1568</v>
      </c>
      <c r="G71" s="27">
        <v>1200</v>
      </c>
      <c r="H71" s="27"/>
      <c r="I71" s="16">
        <f t="shared" si="6"/>
        <v>2768</v>
      </c>
      <c r="J71" s="17">
        <f t="shared" si="7"/>
        <v>2.1292307692307694E-2</v>
      </c>
      <c r="K71" s="71" t="s">
        <v>208</v>
      </c>
      <c r="L71" s="72"/>
      <c r="M71" s="1"/>
      <c r="N71" s="1"/>
      <c r="O71" s="1"/>
      <c r="P71" s="1"/>
      <c r="Q71" s="1"/>
      <c r="R71" s="1"/>
      <c r="S71" s="1"/>
      <c r="T71" s="1"/>
      <c r="U71" s="1"/>
      <c r="V71" s="1"/>
      <c r="W71" s="1"/>
      <c r="X71" s="1"/>
      <c r="Y71" s="1"/>
      <c r="Z71" s="1"/>
    </row>
    <row r="72" spans="1:26" ht="36" customHeight="1">
      <c r="A72" s="70" t="s">
        <v>78</v>
      </c>
      <c r="B72" s="68"/>
      <c r="C72" s="14">
        <v>1691880</v>
      </c>
      <c r="D72" s="15">
        <v>0</v>
      </c>
      <c r="E72" s="27">
        <v>549768</v>
      </c>
      <c r="F72" s="27">
        <v>388704</v>
      </c>
      <c r="G72" s="27">
        <v>388704</v>
      </c>
      <c r="H72" s="27"/>
      <c r="I72" s="16">
        <f t="shared" si="6"/>
        <v>1327176</v>
      </c>
      <c r="J72" s="17">
        <f t="shared" si="7"/>
        <v>0.78443861266756509</v>
      </c>
      <c r="K72" s="71" t="s">
        <v>205</v>
      </c>
      <c r="L72" s="72"/>
      <c r="M72" s="1"/>
      <c r="N72" s="1"/>
      <c r="O72" s="1"/>
      <c r="P72" s="1"/>
      <c r="Q72" s="1"/>
      <c r="R72" s="1"/>
      <c r="S72" s="1"/>
      <c r="T72" s="1"/>
      <c r="U72" s="1"/>
      <c r="V72" s="1"/>
      <c r="W72" s="1"/>
      <c r="X72" s="1"/>
      <c r="Y72" s="1"/>
      <c r="Z72" s="1"/>
    </row>
    <row r="73" spans="1:26" ht="31.5" customHeight="1">
      <c r="A73" s="70" t="s">
        <v>79</v>
      </c>
      <c r="B73" s="68"/>
      <c r="C73" s="18">
        <f>17339500-11839500</f>
        <v>5500000</v>
      </c>
      <c r="D73" s="15">
        <v>0</v>
      </c>
      <c r="E73" s="27">
        <v>729540</v>
      </c>
      <c r="F73" s="27">
        <v>1018789</v>
      </c>
      <c r="G73" s="27">
        <v>1067898</v>
      </c>
      <c r="H73" s="27"/>
      <c r="I73" s="16">
        <f t="shared" si="6"/>
        <v>2816227</v>
      </c>
      <c r="J73" s="17">
        <f t="shared" si="7"/>
        <v>0.51204127272727273</v>
      </c>
      <c r="K73" s="73" t="s">
        <v>200</v>
      </c>
      <c r="L73" s="72"/>
      <c r="M73" s="1"/>
      <c r="N73" s="1"/>
      <c r="O73" s="1"/>
      <c r="P73" s="1"/>
      <c r="Q73" s="1"/>
      <c r="R73" s="1"/>
      <c r="S73" s="1"/>
      <c r="T73" s="1"/>
      <c r="U73" s="1"/>
      <c r="V73" s="1"/>
      <c r="W73" s="1"/>
      <c r="X73" s="1"/>
      <c r="Y73" s="1"/>
      <c r="Z73" s="1"/>
    </row>
    <row r="74" spans="1:26" ht="37.5" customHeight="1">
      <c r="A74" s="70" t="s">
        <v>80</v>
      </c>
      <c r="B74" s="68"/>
      <c r="C74" s="18">
        <f>3852000-2592000-720000</f>
        <v>540000</v>
      </c>
      <c r="D74" s="15">
        <v>0</v>
      </c>
      <c r="E74" s="27">
        <v>0</v>
      </c>
      <c r="F74" s="27">
        <v>0</v>
      </c>
      <c r="G74" s="27">
        <v>0</v>
      </c>
      <c r="H74" s="27"/>
      <c r="I74" s="16">
        <f t="shared" si="6"/>
        <v>0</v>
      </c>
      <c r="J74" s="17">
        <f t="shared" si="7"/>
        <v>0</v>
      </c>
      <c r="K74" s="71" t="s">
        <v>257</v>
      </c>
      <c r="L74" s="72"/>
      <c r="M74" s="1"/>
      <c r="N74" s="1"/>
      <c r="O74" s="1"/>
      <c r="P74" s="1"/>
      <c r="Q74" s="1"/>
      <c r="R74" s="1"/>
      <c r="S74" s="1"/>
      <c r="T74" s="1"/>
      <c r="U74" s="1"/>
      <c r="V74" s="1"/>
      <c r="W74" s="1"/>
      <c r="X74" s="1"/>
      <c r="Y74" s="1"/>
      <c r="Z74" s="1"/>
    </row>
    <row r="75" spans="1:26" ht="47.25" customHeight="1">
      <c r="A75" s="70" t="s">
        <v>81</v>
      </c>
      <c r="B75" s="68"/>
      <c r="C75" s="14">
        <v>355000</v>
      </c>
      <c r="D75" s="15">
        <v>0</v>
      </c>
      <c r="E75" s="27">
        <v>22940</v>
      </c>
      <c r="F75" s="27">
        <v>31070</v>
      </c>
      <c r="G75" s="27">
        <v>5350</v>
      </c>
      <c r="H75" s="27"/>
      <c r="I75" s="16">
        <f t="shared" si="6"/>
        <v>59360</v>
      </c>
      <c r="J75" s="17">
        <f t="shared" si="7"/>
        <v>0.16721126760563379</v>
      </c>
      <c r="K75" s="71" t="s">
        <v>201</v>
      </c>
      <c r="L75" s="72"/>
      <c r="M75" s="1"/>
      <c r="N75" s="1"/>
      <c r="O75" s="1"/>
      <c r="P75" s="1"/>
      <c r="Q75" s="1"/>
      <c r="R75" s="1"/>
      <c r="S75" s="1"/>
      <c r="T75" s="1"/>
      <c r="U75" s="1"/>
      <c r="V75" s="1"/>
      <c r="W75" s="1"/>
      <c r="X75" s="1"/>
      <c r="Y75" s="1"/>
      <c r="Z75" s="1"/>
    </row>
    <row r="76" spans="1:26" ht="30" customHeight="1">
      <c r="A76" s="70" t="s">
        <v>82</v>
      </c>
      <c r="B76" s="68"/>
      <c r="C76" s="14">
        <v>600000</v>
      </c>
      <c r="D76" s="15">
        <v>0</v>
      </c>
      <c r="E76" s="27">
        <v>0</v>
      </c>
      <c r="F76" s="27">
        <v>0</v>
      </c>
      <c r="G76" s="27">
        <v>240000</v>
      </c>
      <c r="H76" s="27"/>
      <c r="I76" s="16">
        <f t="shared" si="6"/>
        <v>240000</v>
      </c>
      <c r="J76" s="17">
        <f t="shared" si="7"/>
        <v>0.4</v>
      </c>
      <c r="K76" s="71" t="s">
        <v>202</v>
      </c>
      <c r="L76" s="72"/>
      <c r="M76" s="1"/>
      <c r="N76" s="1"/>
      <c r="O76" s="1"/>
      <c r="P76" s="1"/>
      <c r="Q76" s="1"/>
      <c r="R76" s="1"/>
      <c r="S76" s="1"/>
      <c r="T76" s="1"/>
      <c r="U76" s="1"/>
      <c r="V76" s="1"/>
      <c r="W76" s="1"/>
      <c r="X76" s="1"/>
      <c r="Y76" s="1"/>
      <c r="Z76" s="1"/>
    </row>
    <row r="77" spans="1:26" ht="35.25" customHeight="1">
      <c r="A77" s="70" t="s">
        <v>83</v>
      </c>
      <c r="B77" s="68"/>
      <c r="C77" s="24">
        <f>9500000+27632050</f>
        <v>37132050</v>
      </c>
      <c r="D77" s="15">
        <v>0</v>
      </c>
      <c r="E77" s="27">
        <v>13252730</v>
      </c>
      <c r="F77" s="27">
        <v>5885010</v>
      </c>
      <c r="G77" s="27">
        <v>6755310</v>
      </c>
      <c r="H77" s="27"/>
      <c r="I77" s="16">
        <f t="shared" si="6"/>
        <v>25893050</v>
      </c>
      <c r="J77" s="17">
        <f t="shared" si="7"/>
        <v>0.69732347123307226</v>
      </c>
      <c r="K77" s="71"/>
      <c r="L77" s="72"/>
      <c r="M77" s="1"/>
      <c r="N77" s="1"/>
      <c r="O77" s="1"/>
      <c r="P77" s="1"/>
      <c r="Q77" s="1"/>
      <c r="R77" s="1"/>
      <c r="S77" s="1"/>
      <c r="T77" s="1"/>
      <c r="U77" s="1"/>
      <c r="V77" s="1"/>
      <c r="W77" s="1"/>
      <c r="X77" s="1"/>
      <c r="Y77" s="1"/>
      <c r="Z77" s="1"/>
    </row>
    <row r="78" spans="1:26" ht="32.25" customHeight="1">
      <c r="A78" s="70" t="s">
        <v>84</v>
      </c>
      <c r="B78" s="68"/>
      <c r="C78" s="14">
        <v>1000000</v>
      </c>
      <c r="D78" s="15">
        <v>0</v>
      </c>
      <c r="E78" s="27">
        <v>1000000</v>
      </c>
      <c r="F78" s="27">
        <v>0</v>
      </c>
      <c r="G78" s="27">
        <v>0</v>
      </c>
      <c r="H78" s="27"/>
      <c r="I78" s="16">
        <f t="shared" si="6"/>
        <v>1000000</v>
      </c>
      <c r="J78" s="17">
        <f t="shared" si="7"/>
        <v>1</v>
      </c>
      <c r="K78" s="73" t="s">
        <v>195</v>
      </c>
      <c r="L78" s="72"/>
      <c r="M78" s="1"/>
      <c r="N78" s="1"/>
      <c r="O78" s="1"/>
      <c r="P78" s="1"/>
      <c r="Q78" s="1"/>
      <c r="R78" s="1"/>
      <c r="S78" s="1"/>
      <c r="T78" s="1"/>
      <c r="U78" s="1"/>
      <c r="V78" s="1"/>
      <c r="W78" s="1"/>
      <c r="X78" s="1"/>
      <c r="Y78" s="1"/>
      <c r="Z78" s="1"/>
    </row>
    <row r="79" spans="1:26" ht="32.25" customHeight="1">
      <c r="A79" s="70" t="s">
        <v>85</v>
      </c>
      <c r="B79" s="68"/>
      <c r="C79" s="18">
        <f>2250000-1050000</f>
        <v>1200000</v>
      </c>
      <c r="D79" s="15">
        <v>0</v>
      </c>
      <c r="E79" s="27">
        <v>0</v>
      </c>
      <c r="F79" s="27">
        <v>0</v>
      </c>
      <c r="G79" s="27">
        <v>0</v>
      </c>
      <c r="H79" s="27"/>
      <c r="I79" s="16">
        <f t="shared" si="6"/>
        <v>0</v>
      </c>
      <c r="J79" s="17">
        <f t="shared" si="7"/>
        <v>0</v>
      </c>
      <c r="K79" s="71" t="s">
        <v>273</v>
      </c>
      <c r="L79" s="72"/>
      <c r="M79" s="1"/>
      <c r="N79" s="1"/>
      <c r="O79" s="1"/>
      <c r="P79" s="1"/>
      <c r="Q79" s="1"/>
      <c r="R79" s="1"/>
      <c r="S79" s="1"/>
      <c r="T79" s="1"/>
      <c r="U79" s="1"/>
      <c r="V79" s="1"/>
      <c r="W79" s="1"/>
      <c r="X79" s="1"/>
      <c r="Y79" s="1"/>
      <c r="Z79" s="1"/>
    </row>
    <row r="80" spans="1:26" ht="33" customHeight="1">
      <c r="A80" s="70" t="s">
        <v>86</v>
      </c>
      <c r="B80" s="68"/>
      <c r="C80" s="18">
        <f>575000-375000</f>
        <v>200000</v>
      </c>
      <c r="D80" s="15">
        <v>0</v>
      </c>
      <c r="E80" s="27">
        <v>0</v>
      </c>
      <c r="F80" s="27">
        <v>22159</v>
      </c>
      <c r="G80" s="27">
        <v>29624</v>
      </c>
      <c r="H80" s="27"/>
      <c r="I80" s="16">
        <f t="shared" si="6"/>
        <v>51783</v>
      </c>
      <c r="J80" s="17">
        <f t="shared" si="7"/>
        <v>0.25891500000000001</v>
      </c>
      <c r="K80" s="71" t="s">
        <v>73</v>
      </c>
      <c r="L80" s="72"/>
      <c r="M80" s="1"/>
      <c r="N80" s="1"/>
      <c r="O80" s="1"/>
      <c r="P80" s="1"/>
      <c r="Q80" s="1"/>
      <c r="R80" s="1"/>
      <c r="S80" s="1"/>
      <c r="T80" s="1"/>
      <c r="U80" s="1"/>
      <c r="V80" s="1"/>
      <c r="W80" s="1"/>
      <c r="X80" s="1"/>
      <c r="Y80" s="1"/>
      <c r="Z80" s="1"/>
    </row>
    <row r="81" spans="1:26" ht="32.25" customHeight="1">
      <c r="A81" s="70" t="s">
        <v>87</v>
      </c>
      <c r="B81" s="68"/>
      <c r="C81" s="18">
        <f>1220000-610000+142000</f>
        <v>752000</v>
      </c>
      <c r="D81" s="15">
        <v>0</v>
      </c>
      <c r="E81" s="27">
        <v>0</v>
      </c>
      <c r="F81" s="27">
        <v>141858</v>
      </c>
      <c r="G81" s="27">
        <v>148291</v>
      </c>
      <c r="H81" s="27"/>
      <c r="I81" s="16">
        <f t="shared" si="6"/>
        <v>290149</v>
      </c>
      <c r="J81" s="17">
        <f t="shared" si="7"/>
        <v>0.38583643617021279</v>
      </c>
      <c r="K81" s="71" t="s">
        <v>258</v>
      </c>
      <c r="L81" s="72"/>
      <c r="M81" s="1"/>
      <c r="N81" s="1"/>
      <c r="O81" s="1"/>
      <c r="P81" s="1"/>
      <c r="Q81" s="1"/>
      <c r="R81" s="1"/>
      <c r="S81" s="1"/>
      <c r="T81" s="1"/>
      <c r="U81" s="1"/>
      <c r="V81" s="1"/>
      <c r="W81" s="1"/>
      <c r="X81" s="1"/>
      <c r="Y81" s="1"/>
      <c r="Z81" s="1"/>
    </row>
    <row r="82" spans="1:26" ht="45" customHeight="1">
      <c r="A82" s="70" t="s">
        <v>88</v>
      </c>
      <c r="B82" s="68"/>
      <c r="C82" s="18">
        <f>4516000-3688000+22000</f>
        <v>850000</v>
      </c>
      <c r="D82" s="15">
        <v>0</v>
      </c>
      <c r="E82" s="27">
        <v>0</v>
      </c>
      <c r="F82" s="27">
        <v>0</v>
      </c>
      <c r="G82" s="27">
        <v>68330</v>
      </c>
      <c r="H82" s="27"/>
      <c r="I82" s="16">
        <f t="shared" si="6"/>
        <v>68330</v>
      </c>
      <c r="J82" s="17">
        <f t="shared" si="7"/>
        <v>8.0388235294117649E-2</v>
      </c>
      <c r="K82" s="71" t="s">
        <v>259</v>
      </c>
      <c r="L82" s="72"/>
      <c r="M82" s="1"/>
      <c r="N82" s="1"/>
      <c r="O82" s="1"/>
      <c r="P82" s="1"/>
      <c r="Q82" s="1"/>
      <c r="R82" s="1"/>
      <c r="S82" s="1"/>
      <c r="T82" s="1"/>
      <c r="U82" s="1"/>
      <c r="V82" s="1"/>
      <c r="W82" s="1"/>
      <c r="X82" s="1"/>
      <c r="Y82" s="1"/>
      <c r="Z82" s="1"/>
    </row>
    <row r="83" spans="1:26" ht="49.5" customHeight="1">
      <c r="A83" s="70" t="s">
        <v>89</v>
      </c>
      <c r="B83" s="68"/>
      <c r="C83" s="14">
        <v>2160000</v>
      </c>
      <c r="D83" s="15">
        <v>0</v>
      </c>
      <c r="E83" s="27">
        <v>0</v>
      </c>
      <c r="F83" s="27">
        <v>0</v>
      </c>
      <c r="G83" s="27">
        <v>0</v>
      </c>
      <c r="H83" s="27"/>
      <c r="I83" s="16">
        <f t="shared" si="6"/>
        <v>0</v>
      </c>
      <c r="J83" s="17">
        <f t="shared" si="7"/>
        <v>0</v>
      </c>
      <c r="K83" s="71" t="s">
        <v>203</v>
      </c>
      <c r="L83" s="72"/>
      <c r="M83" s="1"/>
      <c r="N83" s="1"/>
      <c r="O83" s="1"/>
      <c r="P83" s="1"/>
      <c r="Q83" s="1"/>
      <c r="R83" s="1"/>
      <c r="S83" s="1"/>
      <c r="T83" s="1"/>
      <c r="U83" s="1"/>
      <c r="V83" s="1"/>
      <c r="W83" s="1"/>
      <c r="X83" s="1"/>
      <c r="Y83" s="1"/>
      <c r="Z83" s="1"/>
    </row>
    <row r="84" spans="1:26" ht="42.75" customHeight="1">
      <c r="A84" s="81" t="s">
        <v>90</v>
      </c>
      <c r="B84" s="68"/>
      <c r="C84" s="18">
        <f>6077500-5757500</f>
        <v>320000</v>
      </c>
      <c r="D84" s="15">
        <v>0</v>
      </c>
      <c r="E84" s="27">
        <v>0</v>
      </c>
      <c r="F84" s="27">
        <v>12526</v>
      </c>
      <c r="G84" s="27">
        <v>57871</v>
      </c>
      <c r="H84" s="27"/>
      <c r="I84" s="16">
        <f t="shared" si="6"/>
        <v>70397</v>
      </c>
      <c r="J84" s="17">
        <f t="shared" si="7"/>
        <v>0.219990625</v>
      </c>
      <c r="K84" s="71" t="s">
        <v>199</v>
      </c>
      <c r="L84" s="72"/>
      <c r="M84" s="1"/>
      <c r="N84" s="1"/>
      <c r="O84" s="1"/>
      <c r="P84" s="1"/>
      <c r="Q84" s="1"/>
      <c r="R84" s="1"/>
      <c r="S84" s="1"/>
      <c r="T84" s="1"/>
      <c r="U84" s="1"/>
      <c r="V84" s="1"/>
      <c r="W84" s="1"/>
      <c r="X84" s="1"/>
      <c r="Y84" s="1"/>
      <c r="Z84" s="1"/>
    </row>
    <row r="85" spans="1:26" ht="49.5" customHeight="1">
      <c r="A85" s="81" t="s">
        <v>91</v>
      </c>
      <c r="B85" s="68"/>
      <c r="C85" s="14">
        <v>200000</v>
      </c>
      <c r="D85" s="15">
        <v>0</v>
      </c>
      <c r="E85" s="27">
        <v>28500</v>
      </c>
      <c r="F85" s="27">
        <v>85700</v>
      </c>
      <c r="G85" s="27">
        <v>69266</v>
      </c>
      <c r="H85" s="27"/>
      <c r="I85" s="16">
        <f t="shared" si="6"/>
        <v>183466</v>
      </c>
      <c r="J85" s="17">
        <f t="shared" si="7"/>
        <v>0.91732999999999998</v>
      </c>
      <c r="K85" s="71"/>
      <c r="L85" s="72"/>
      <c r="M85" s="1"/>
      <c r="N85" s="1"/>
      <c r="O85" s="1"/>
      <c r="P85" s="1"/>
      <c r="Q85" s="1"/>
      <c r="R85" s="1"/>
      <c r="S85" s="1"/>
      <c r="T85" s="1"/>
      <c r="U85" s="1"/>
      <c r="V85" s="1"/>
      <c r="W85" s="1"/>
      <c r="X85" s="1"/>
      <c r="Y85" s="1"/>
      <c r="Z85" s="1"/>
    </row>
    <row r="86" spans="1:26" ht="36.75" customHeight="1">
      <c r="A86" s="81" t="s">
        <v>92</v>
      </c>
      <c r="B86" s="68"/>
      <c r="C86" s="14">
        <v>200000</v>
      </c>
      <c r="D86" s="15">
        <v>0</v>
      </c>
      <c r="E86" s="27">
        <v>0</v>
      </c>
      <c r="F86" s="27">
        <v>150000</v>
      </c>
      <c r="G86" s="27">
        <v>50000</v>
      </c>
      <c r="H86" s="27"/>
      <c r="I86" s="16">
        <f t="shared" si="6"/>
        <v>200000</v>
      </c>
      <c r="J86" s="17">
        <f t="shared" si="7"/>
        <v>1</v>
      </c>
      <c r="K86" s="71"/>
      <c r="L86" s="72"/>
      <c r="M86" s="1"/>
      <c r="N86" s="1"/>
      <c r="O86" s="1"/>
      <c r="P86" s="1"/>
      <c r="Q86" s="1"/>
      <c r="R86" s="1"/>
      <c r="S86" s="1"/>
      <c r="T86" s="1"/>
      <c r="U86" s="1"/>
      <c r="V86" s="1"/>
      <c r="W86" s="1"/>
      <c r="X86" s="1"/>
      <c r="Y86" s="1"/>
      <c r="Z86" s="1"/>
    </row>
    <row r="87" spans="1:26" ht="39.75" customHeight="1">
      <c r="A87" s="81" t="s">
        <v>93</v>
      </c>
      <c r="B87" s="68"/>
      <c r="C87" s="25">
        <f>25816160-3872425</f>
        <v>21943735</v>
      </c>
      <c r="D87" s="15">
        <v>0</v>
      </c>
      <c r="E87" s="27">
        <v>309918</v>
      </c>
      <c r="F87" s="27">
        <v>13326786</v>
      </c>
      <c r="G87" s="27">
        <v>722</v>
      </c>
      <c r="H87" s="27"/>
      <c r="I87" s="16">
        <f t="shared" si="6"/>
        <v>13637426</v>
      </c>
      <c r="J87" s="17">
        <f t="shared" si="7"/>
        <v>0.62147241570316081</v>
      </c>
      <c r="K87" s="71" t="s">
        <v>212</v>
      </c>
      <c r="L87" s="72"/>
      <c r="M87" s="1"/>
      <c r="N87" s="1"/>
      <c r="O87" s="1"/>
      <c r="P87" s="1"/>
      <c r="Q87" s="1"/>
      <c r="R87" s="1"/>
      <c r="S87" s="1"/>
      <c r="T87" s="1"/>
      <c r="U87" s="1"/>
      <c r="V87" s="1"/>
      <c r="W87" s="1"/>
      <c r="X87" s="1"/>
      <c r="Y87" s="1"/>
      <c r="Z87" s="1"/>
    </row>
    <row r="88" spans="1:26" ht="42" customHeight="1">
      <c r="A88" s="81" t="s">
        <v>94</v>
      </c>
      <c r="B88" s="68"/>
      <c r="C88" s="14">
        <v>12766822</v>
      </c>
      <c r="D88" s="15">
        <v>0</v>
      </c>
      <c r="E88" s="27">
        <v>0</v>
      </c>
      <c r="F88" s="27">
        <v>0</v>
      </c>
      <c r="G88" s="27">
        <v>0</v>
      </c>
      <c r="H88" s="27"/>
      <c r="I88" s="16">
        <f t="shared" si="6"/>
        <v>0</v>
      </c>
      <c r="J88" s="17">
        <f t="shared" si="7"/>
        <v>0</v>
      </c>
      <c r="K88" s="71" t="s">
        <v>211</v>
      </c>
      <c r="L88" s="72"/>
      <c r="M88" s="1"/>
      <c r="N88" s="1"/>
      <c r="O88" s="1"/>
      <c r="P88" s="1"/>
      <c r="Q88" s="1"/>
      <c r="R88" s="1"/>
      <c r="S88" s="1"/>
      <c r="T88" s="1"/>
      <c r="U88" s="1"/>
      <c r="V88" s="1"/>
      <c r="W88" s="1"/>
      <c r="X88" s="1"/>
      <c r="Y88" s="1"/>
      <c r="Z88" s="1"/>
    </row>
    <row r="89" spans="1:26" ht="18.75" customHeight="1">
      <c r="A89" s="83" t="s">
        <v>64</v>
      </c>
      <c r="B89" s="68"/>
      <c r="C89" s="22">
        <f t="shared" ref="C89:I89" si="8">SUM(C69:C88)</f>
        <v>90349287</v>
      </c>
      <c r="D89" s="22">
        <f t="shared" si="8"/>
        <v>0</v>
      </c>
      <c r="E89" s="22">
        <f t="shared" si="8"/>
        <v>15893396</v>
      </c>
      <c r="F89" s="22">
        <f t="shared" si="8"/>
        <v>21521060</v>
      </c>
      <c r="G89" s="22">
        <f t="shared" si="8"/>
        <v>9572840</v>
      </c>
      <c r="H89" s="22">
        <f t="shared" si="8"/>
        <v>0</v>
      </c>
      <c r="I89" s="22">
        <f t="shared" si="8"/>
        <v>46987296</v>
      </c>
      <c r="J89" s="23">
        <f t="shared" si="7"/>
        <v>0.52006272058350611</v>
      </c>
      <c r="K89" s="84"/>
      <c r="L89" s="68"/>
      <c r="M89" s="1"/>
      <c r="N89" s="1"/>
      <c r="O89" s="1"/>
      <c r="P89" s="1"/>
      <c r="Q89" s="1"/>
      <c r="R89" s="1"/>
      <c r="S89" s="1"/>
      <c r="T89" s="1"/>
      <c r="U89" s="1"/>
      <c r="V89" s="1"/>
      <c r="W89" s="1"/>
      <c r="X89" s="1"/>
      <c r="Y89" s="1"/>
      <c r="Z89" s="1"/>
    </row>
    <row r="90" spans="1:26" ht="21.75" customHeight="1">
      <c r="A90" s="67" t="s">
        <v>95</v>
      </c>
      <c r="B90" s="68"/>
      <c r="C90" s="12"/>
      <c r="D90" s="13"/>
      <c r="E90" s="13"/>
      <c r="F90" s="13"/>
      <c r="G90" s="13"/>
      <c r="H90" s="13"/>
      <c r="I90" s="13"/>
      <c r="J90" s="13"/>
      <c r="K90" s="69"/>
      <c r="L90" s="68"/>
      <c r="M90" s="1"/>
      <c r="N90" s="1"/>
      <c r="O90" s="1"/>
      <c r="P90" s="1"/>
      <c r="Q90" s="1"/>
      <c r="R90" s="1"/>
      <c r="S90" s="1"/>
      <c r="T90" s="1"/>
      <c r="U90" s="1"/>
      <c r="V90" s="1"/>
      <c r="W90" s="1"/>
      <c r="X90" s="1"/>
      <c r="Y90" s="1"/>
      <c r="Z90" s="1"/>
    </row>
    <row r="91" spans="1:26" ht="34.5" customHeight="1">
      <c r="A91" s="70" t="s">
        <v>96</v>
      </c>
      <c r="B91" s="68"/>
      <c r="C91" s="14">
        <v>1000000</v>
      </c>
      <c r="D91" s="15">
        <v>0</v>
      </c>
      <c r="E91" s="27">
        <v>241389</v>
      </c>
      <c r="F91" s="27">
        <v>102444</v>
      </c>
      <c r="G91" s="26">
        <v>465989</v>
      </c>
      <c r="H91" s="27"/>
      <c r="I91" s="16">
        <f t="shared" ref="I91:I117" si="9">SUM(E91:H91)</f>
        <v>809822</v>
      </c>
      <c r="J91" s="17">
        <f t="shared" ref="J91:J118" si="10">IFERROR((I91/(C91+D91)),0)</f>
        <v>0.80982200000000004</v>
      </c>
      <c r="K91" s="82" t="s">
        <v>97</v>
      </c>
      <c r="L91" s="72"/>
      <c r="M91" s="1"/>
      <c r="N91" s="1"/>
      <c r="O91" s="1"/>
      <c r="P91" s="1"/>
      <c r="Q91" s="1"/>
      <c r="R91" s="1"/>
      <c r="S91" s="1"/>
      <c r="T91" s="1"/>
      <c r="U91" s="1"/>
      <c r="V91" s="1"/>
      <c r="W91" s="1"/>
      <c r="X91" s="1"/>
      <c r="Y91" s="1"/>
      <c r="Z91" s="1"/>
    </row>
    <row r="92" spans="1:26" ht="43.5" customHeight="1">
      <c r="A92" s="70" t="s">
        <v>98</v>
      </c>
      <c r="B92" s="68"/>
      <c r="C92" s="24">
        <f>1688724+100000+150000-27000</f>
        <v>1911724</v>
      </c>
      <c r="D92" s="15">
        <v>0</v>
      </c>
      <c r="E92" s="27">
        <v>310866</v>
      </c>
      <c r="F92" s="27">
        <v>429065</v>
      </c>
      <c r="G92" s="27">
        <v>395171</v>
      </c>
      <c r="H92" s="27"/>
      <c r="I92" s="16">
        <f t="shared" si="9"/>
        <v>1135102</v>
      </c>
      <c r="J92" s="17">
        <f t="shared" si="10"/>
        <v>0.5937583040229657</v>
      </c>
      <c r="K92" s="73" t="s">
        <v>260</v>
      </c>
      <c r="L92" s="72"/>
      <c r="M92" s="1"/>
      <c r="N92" s="1"/>
      <c r="O92" s="1"/>
      <c r="P92" s="1"/>
      <c r="Q92" s="1"/>
      <c r="R92" s="1"/>
      <c r="S92" s="1"/>
      <c r="T92" s="1"/>
      <c r="U92" s="1"/>
      <c r="V92" s="1"/>
      <c r="W92" s="1"/>
      <c r="X92" s="1"/>
      <c r="Y92" s="1"/>
      <c r="Z92" s="1"/>
    </row>
    <row r="93" spans="1:26" ht="30.75" customHeight="1">
      <c r="A93" s="70" t="s">
        <v>99</v>
      </c>
      <c r="B93" s="68"/>
      <c r="C93" s="14">
        <v>520000</v>
      </c>
      <c r="D93" s="15">
        <v>0</v>
      </c>
      <c r="E93" s="27">
        <v>0</v>
      </c>
      <c r="F93" s="27">
        <v>81514</v>
      </c>
      <c r="G93" s="27">
        <v>87732</v>
      </c>
      <c r="H93" s="27"/>
      <c r="I93" s="16">
        <f t="shared" si="9"/>
        <v>169246</v>
      </c>
      <c r="J93" s="17">
        <f t="shared" si="10"/>
        <v>0.32547307692307692</v>
      </c>
      <c r="K93" s="73" t="s">
        <v>213</v>
      </c>
      <c r="L93" s="72"/>
      <c r="M93" s="1"/>
      <c r="N93" s="1"/>
      <c r="O93" s="1"/>
      <c r="P93" s="1"/>
      <c r="Q93" s="1"/>
      <c r="R93" s="1"/>
      <c r="S93" s="1"/>
      <c r="T93" s="1"/>
      <c r="U93" s="1"/>
      <c r="V93" s="1"/>
      <c r="W93" s="1"/>
      <c r="X93" s="1"/>
      <c r="Y93" s="1"/>
      <c r="Z93" s="1"/>
    </row>
    <row r="94" spans="1:26" ht="39" customHeight="1">
      <c r="A94" s="70" t="s">
        <v>100</v>
      </c>
      <c r="B94" s="68"/>
      <c r="C94" s="14">
        <v>8000000</v>
      </c>
      <c r="D94" s="15">
        <v>0</v>
      </c>
      <c r="E94" s="27">
        <v>33200</v>
      </c>
      <c r="F94" s="27">
        <v>1243365</v>
      </c>
      <c r="G94" s="27">
        <v>1322491</v>
      </c>
      <c r="H94" s="27"/>
      <c r="I94" s="16">
        <f t="shared" si="9"/>
        <v>2599056</v>
      </c>
      <c r="J94" s="17">
        <f t="shared" si="10"/>
        <v>0.324882</v>
      </c>
      <c r="K94" s="82" t="s">
        <v>213</v>
      </c>
      <c r="L94" s="72"/>
      <c r="M94" s="1"/>
      <c r="N94" s="1"/>
      <c r="O94" s="1"/>
      <c r="P94" s="1"/>
      <c r="Q94" s="1"/>
      <c r="R94" s="1"/>
      <c r="S94" s="1"/>
      <c r="T94" s="1"/>
      <c r="U94" s="1"/>
      <c r="V94" s="1"/>
      <c r="W94" s="1"/>
      <c r="X94" s="1"/>
      <c r="Y94" s="1"/>
      <c r="Z94" s="1"/>
    </row>
    <row r="95" spans="1:26" ht="25.5" customHeight="1">
      <c r="A95" s="70" t="s">
        <v>101</v>
      </c>
      <c r="B95" s="68"/>
      <c r="C95" s="18">
        <f>7544600-4765000</f>
        <v>2779600</v>
      </c>
      <c r="D95" s="15">
        <v>0</v>
      </c>
      <c r="E95" s="27">
        <v>0</v>
      </c>
      <c r="F95" s="27">
        <v>612229</v>
      </c>
      <c r="G95" s="27">
        <v>580640</v>
      </c>
      <c r="H95" s="27"/>
      <c r="I95" s="16">
        <f t="shared" si="9"/>
        <v>1192869</v>
      </c>
      <c r="J95" s="17">
        <f t="shared" si="10"/>
        <v>0.42915131673622103</v>
      </c>
      <c r="K95" s="73" t="s">
        <v>213</v>
      </c>
      <c r="L95" s="72"/>
      <c r="M95" s="1"/>
      <c r="N95" s="1"/>
      <c r="O95" s="1"/>
      <c r="P95" s="1"/>
      <c r="Q95" s="1"/>
      <c r="R95" s="1"/>
      <c r="S95" s="1"/>
      <c r="T95" s="1"/>
      <c r="U95" s="1"/>
      <c r="V95" s="1"/>
      <c r="W95" s="1"/>
      <c r="X95" s="1"/>
      <c r="Y95" s="1"/>
      <c r="Z95" s="1"/>
    </row>
    <row r="96" spans="1:26" ht="46.5" customHeight="1">
      <c r="A96" s="70" t="s">
        <v>102</v>
      </c>
      <c r="B96" s="68"/>
      <c r="C96" s="18">
        <f>5000000-2808000-507000</f>
        <v>1685000</v>
      </c>
      <c r="D96" s="15">
        <v>0</v>
      </c>
      <c r="E96" s="27">
        <v>0</v>
      </c>
      <c r="F96" s="27">
        <v>548000</v>
      </c>
      <c r="G96" s="27">
        <v>548000</v>
      </c>
      <c r="H96" s="27"/>
      <c r="I96" s="16">
        <f t="shared" si="9"/>
        <v>1096000</v>
      </c>
      <c r="J96" s="17">
        <f t="shared" si="10"/>
        <v>0.65044510385756682</v>
      </c>
      <c r="K96" s="82" t="s">
        <v>261</v>
      </c>
      <c r="L96" s="72"/>
      <c r="M96" s="1"/>
      <c r="N96" s="1"/>
      <c r="O96" s="1"/>
      <c r="P96" s="1"/>
      <c r="Q96" s="1"/>
      <c r="R96" s="1"/>
      <c r="S96" s="1"/>
      <c r="T96" s="1"/>
      <c r="U96" s="1"/>
      <c r="V96" s="1"/>
      <c r="W96" s="1"/>
      <c r="X96" s="1"/>
      <c r="Y96" s="1"/>
      <c r="Z96" s="1"/>
    </row>
    <row r="97" spans="1:26" ht="49.5" customHeight="1">
      <c r="A97" s="70" t="s">
        <v>103</v>
      </c>
      <c r="B97" s="68"/>
      <c r="C97" s="24">
        <f>28552+135000</f>
        <v>163552</v>
      </c>
      <c r="D97" s="15">
        <v>0</v>
      </c>
      <c r="E97" s="27">
        <v>0</v>
      </c>
      <c r="F97" s="27">
        <v>18947</v>
      </c>
      <c r="G97" s="27">
        <v>73762</v>
      </c>
      <c r="H97" s="27"/>
      <c r="I97" s="16">
        <f t="shared" si="9"/>
        <v>92709</v>
      </c>
      <c r="J97" s="17">
        <f t="shared" si="10"/>
        <v>0.56684724124437491</v>
      </c>
      <c r="K97" s="82" t="s">
        <v>250</v>
      </c>
      <c r="L97" s="72"/>
      <c r="M97" s="1"/>
      <c r="N97" s="1"/>
      <c r="O97" s="1"/>
      <c r="P97" s="1"/>
      <c r="Q97" s="1"/>
      <c r="R97" s="1"/>
      <c r="S97" s="1"/>
      <c r="T97" s="1"/>
      <c r="U97" s="1"/>
      <c r="V97" s="1"/>
      <c r="W97" s="1"/>
      <c r="X97" s="1"/>
      <c r="Y97" s="1"/>
      <c r="Z97" s="1"/>
    </row>
    <row r="98" spans="1:26" ht="33.75" customHeight="1">
      <c r="A98" s="70" t="s">
        <v>104</v>
      </c>
      <c r="B98" s="68"/>
      <c r="C98" s="14">
        <v>750000</v>
      </c>
      <c r="D98" s="15">
        <v>0</v>
      </c>
      <c r="E98" s="27">
        <v>68972</v>
      </c>
      <c r="F98" s="27">
        <v>103588</v>
      </c>
      <c r="G98" s="27">
        <v>85509</v>
      </c>
      <c r="H98" s="27"/>
      <c r="I98" s="16">
        <f t="shared" si="9"/>
        <v>258069</v>
      </c>
      <c r="J98" s="17">
        <f t="shared" si="10"/>
        <v>0.34409200000000001</v>
      </c>
      <c r="K98" s="73" t="s">
        <v>205</v>
      </c>
      <c r="L98" s="72"/>
      <c r="M98" s="1"/>
      <c r="N98" s="1"/>
      <c r="O98" s="1"/>
      <c r="P98" s="1"/>
      <c r="Q98" s="1"/>
      <c r="R98" s="1"/>
      <c r="S98" s="1"/>
      <c r="T98" s="1"/>
      <c r="U98" s="1"/>
      <c r="V98" s="1"/>
      <c r="W98" s="1"/>
      <c r="X98" s="1"/>
      <c r="Y98" s="1"/>
      <c r="Z98" s="1"/>
    </row>
    <row r="99" spans="1:26" ht="30" customHeight="1">
      <c r="A99" s="70" t="s">
        <v>105</v>
      </c>
      <c r="B99" s="68"/>
      <c r="C99" s="18">
        <f>7028392-3000000</f>
        <v>4028392</v>
      </c>
      <c r="D99" s="15">
        <v>0</v>
      </c>
      <c r="E99" s="27">
        <v>544933</v>
      </c>
      <c r="F99" s="27">
        <v>622583</v>
      </c>
      <c r="G99" s="27">
        <v>762889</v>
      </c>
      <c r="H99" s="27"/>
      <c r="I99" s="16">
        <f t="shared" si="9"/>
        <v>1930405</v>
      </c>
      <c r="J99" s="17">
        <f t="shared" si="10"/>
        <v>0.47919988918655382</v>
      </c>
      <c r="K99" s="73" t="s">
        <v>205</v>
      </c>
      <c r="L99" s="72"/>
      <c r="M99" s="1"/>
      <c r="N99" s="1"/>
      <c r="O99" s="1"/>
      <c r="P99" s="1"/>
      <c r="Q99" s="1"/>
      <c r="R99" s="1"/>
      <c r="S99" s="1"/>
      <c r="T99" s="1"/>
      <c r="U99" s="1"/>
      <c r="V99" s="1"/>
      <c r="W99" s="1"/>
      <c r="X99" s="1"/>
      <c r="Y99" s="1"/>
      <c r="Z99" s="1"/>
    </row>
    <row r="100" spans="1:26" ht="40.5" customHeight="1">
      <c r="A100" s="70" t="s">
        <v>106</v>
      </c>
      <c r="B100" s="68"/>
      <c r="C100" s="18">
        <f>12401944-9857000-88110</f>
        <v>2456834</v>
      </c>
      <c r="D100" s="15">
        <v>0</v>
      </c>
      <c r="E100" s="27">
        <v>285720</v>
      </c>
      <c r="F100" s="27">
        <v>371927</v>
      </c>
      <c r="G100" s="27">
        <v>548633</v>
      </c>
      <c r="H100" s="27"/>
      <c r="I100" s="16">
        <f t="shared" si="9"/>
        <v>1206280</v>
      </c>
      <c r="J100" s="17">
        <f t="shared" si="10"/>
        <v>0.49098962323054796</v>
      </c>
      <c r="K100" s="73" t="s">
        <v>262</v>
      </c>
      <c r="L100" s="72"/>
      <c r="M100" s="1"/>
      <c r="N100" s="1"/>
      <c r="O100" s="1"/>
      <c r="P100" s="1"/>
      <c r="Q100" s="1"/>
      <c r="R100" s="1"/>
      <c r="S100" s="1"/>
      <c r="T100" s="1"/>
      <c r="U100" s="1"/>
      <c r="V100" s="1"/>
      <c r="W100" s="1"/>
      <c r="X100" s="1"/>
      <c r="Y100" s="1"/>
      <c r="Z100" s="1"/>
    </row>
    <row r="101" spans="1:26" ht="52.5" customHeight="1">
      <c r="A101" s="70" t="s">
        <v>107</v>
      </c>
      <c r="B101" s="68"/>
      <c r="C101" s="18">
        <f>311000-295000</f>
        <v>16000</v>
      </c>
      <c r="D101" s="15">
        <v>0</v>
      </c>
      <c r="E101" s="27">
        <v>0</v>
      </c>
      <c r="F101" s="27">
        <v>0</v>
      </c>
      <c r="G101" s="27">
        <v>0</v>
      </c>
      <c r="H101" s="27"/>
      <c r="I101" s="16">
        <f t="shared" si="9"/>
        <v>0</v>
      </c>
      <c r="J101" s="17">
        <f t="shared" si="10"/>
        <v>0</v>
      </c>
      <c r="K101" s="73" t="s">
        <v>214</v>
      </c>
      <c r="L101" s="72"/>
      <c r="M101" s="1"/>
      <c r="N101" s="1"/>
      <c r="O101" s="1"/>
      <c r="P101" s="1"/>
      <c r="Q101" s="1"/>
      <c r="R101" s="1"/>
      <c r="S101" s="1"/>
      <c r="T101" s="1"/>
      <c r="U101" s="1"/>
      <c r="V101" s="1"/>
      <c r="W101" s="1"/>
      <c r="X101" s="1"/>
      <c r="Y101" s="1"/>
      <c r="Z101" s="1"/>
    </row>
    <row r="102" spans="1:26" ht="33.75" customHeight="1">
      <c r="A102" s="70" t="s">
        <v>108</v>
      </c>
      <c r="B102" s="68"/>
      <c r="C102" s="25">
        <f>1774000-1494000</f>
        <v>280000</v>
      </c>
      <c r="D102" s="15">
        <v>0</v>
      </c>
      <c r="E102" s="27">
        <v>0</v>
      </c>
      <c r="F102" s="27">
        <v>0</v>
      </c>
      <c r="G102" s="27">
        <v>0</v>
      </c>
      <c r="H102" s="27"/>
      <c r="I102" s="16">
        <f t="shared" si="9"/>
        <v>0</v>
      </c>
      <c r="J102" s="17">
        <f t="shared" si="10"/>
        <v>0</v>
      </c>
      <c r="K102" s="73" t="s">
        <v>274</v>
      </c>
      <c r="L102" s="72"/>
      <c r="M102" s="1"/>
      <c r="N102" s="1"/>
      <c r="O102" s="1"/>
      <c r="P102" s="1"/>
      <c r="Q102" s="1"/>
      <c r="R102" s="1"/>
      <c r="S102" s="1"/>
      <c r="T102" s="1"/>
      <c r="U102" s="1"/>
      <c r="V102" s="1"/>
      <c r="W102" s="1"/>
      <c r="X102" s="1"/>
      <c r="Y102" s="1"/>
      <c r="Z102" s="1"/>
    </row>
    <row r="103" spans="1:26" ht="36" customHeight="1">
      <c r="A103" s="70" t="s">
        <v>109</v>
      </c>
      <c r="B103" s="68"/>
      <c r="C103" s="14">
        <v>300000</v>
      </c>
      <c r="D103" s="15">
        <v>0</v>
      </c>
      <c r="E103" s="27">
        <v>0</v>
      </c>
      <c r="F103" s="27">
        <v>0</v>
      </c>
      <c r="G103" s="27">
        <v>0</v>
      </c>
      <c r="H103" s="27"/>
      <c r="I103" s="16">
        <f t="shared" si="9"/>
        <v>0</v>
      </c>
      <c r="J103" s="17">
        <f t="shared" si="10"/>
        <v>0</v>
      </c>
      <c r="K103" s="73" t="s">
        <v>224</v>
      </c>
      <c r="L103" s="72"/>
      <c r="M103" s="1"/>
      <c r="N103" s="1"/>
      <c r="O103" s="1"/>
      <c r="P103" s="1"/>
      <c r="Q103" s="1"/>
      <c r="R103" s="1"/>
      <c r="S103" s="1"/>
      <c r="T103" s="1"/>
      <c r="U103" s="1"/>
      <c r="V103" s="1"/>
      <c r="W103" s="1"/>
      <c r="X103" s="1"/>
      <c r="Y103" s="1"/>
      <c r="Z103" s="1"/>
    </row>
    <row r="104" spans="1:26" ht="34.5" customHeight="1">
      <c r="A104" s="70" t="s">
        <v>110</v>
      </c>
      <c r="B104" s="68"/>
      <c r="C104" s="25">
        <f>6400000-6000000</f>
        <v>400000</v>
      </c>
      <c r="D104" s="15">
        <v>0</v>
      </c>
      <c r="E104" s="27">
        <v>0</v>
      </c>
      <c r="F104" s="27">
        <v>60593</v>
      </c>
      <c r="G104" s="27">
        <v>70736</v>
      </c>
      <c r="H104" s="27"/>
      <c r="I104" s="16">
        <f t="shared" si="9"/>
        <v>131329</v>
      </c>
      <c r="J104" s="17">
        <f t="shared" si="10"/>
        <v>0.32832250000000002</v>
      </c>
      <c r="K104" s="82" t="s">
        <v>97</v>
      </c>
      <c r="L104" s="72"/>
      <c r="M104" s="1"/>
      <c r="N104" s="1"/>
      <c r="O104" s="1"/>
      <c r="P104" s="1"/>
      <c r="Q104" s="1"/>
      <c r="R104" s="1"/>
      <c r="S104" s="1"/>
      <c r="T104" s="1"/>
      <c r="U104" s="1"/>
      <c r="V104" s="1"/>
      <c r="W104" s="1"/>
      <c r="X104" s="1"/>
      <c r="Y104" s="1"/>
      <c r="Z104" s="1"/>
    </row>
    <row r="105" spans="1:26" ht="36" customHeight="1">
      <c r="A105" s="70" t="s">
        <v>111</v>
      </c>
      <c r="B105" s="68"/>
      <c r="C105" s="18">
        <f>4256510-4025510</f>
        <v>231000</v>
      </c>
      <c r="D105" s="15">
        <v>0</v>
      </c>
      <c r="E105" s="27">
        <v>0</v>
      </c>
      <c r="F105" s="27">
        <v>0</v>
      </c>
      <c r="G105" s="27">
        <v>92748</v>
      </c>
      <c r="H105" s="27"/>
      <c r="I105" s="16">
        <f t="shared" si="9"/>
        <v>92748</v>
      </c>
      <c r="J105" s="17">
        <f t="shared" si="10"/>
        <v>0.40150649350649353</v>
      </c>
      <c r="K105" s="73" t="s">
        <v>215</v>
      </c>
      <c r="L105" s="72"/>
      <c r="M105" s="1"/>
      <c r="N105" s="1"/>
      <c r="O105" s="1"/>
      <c r="P105" s="1"/>
      <c r="Q105" s="1"/>
      <c r="R105" s="1"/>
      <c r="S105" s="1"/>
      <c r="T105" s="1"/>
      <c r="U105" s="1"/>
      <c r="V105" s="1"/>
      <c r="W105" s="1"/>
      <c r="X105" s="1"/>
      <c r="Y105" s="1"/>
      <c r="Z105" s="1"/>
    </row>
    <row r="106" spans="1:26" ht="27" customHeight="1">
      <c r="A106" s="70" t="s">
        <v>112</v>
      </c>
      <c r="B106" s="68"/>
      <c r="C106" s="18">
        <f>4607000-4397000</f>
        <v>210000</v>
      </c>
      <c r="D106" s="15">
        <v>0</v>
      </c>
      <c r="E106" s="27">
        <v>0</v>
      </c>
      <c r="F106" s="27">
        <v>35437</v>
      </c>
      <c r="G106" s="27">
        <v>45288</v>
      </c>
      <c r="H106" s="27"/>
      <c r="I106" s="16">
        <f t="shared" si="9"/>
        <v>80725</v>
      </c>
      <c r="J106" s="17">
        <f t="shared" si="10"/>
        <v>0.38440476190476192</v>
      </c>
      <c r="K106" s="82" t="s">
        <v>97</v>
      </c>
      <c r="L106" s="72"/>
      <c r="M106" s="1"/>
      <c r="N106" s="1"/>
      <c r="O106" s="1"/>
      <c r="P106" s="1"/>
      <c r="Q106" s="1"/>
      <c r="R106" s="1"/>
      <c r="S106" s="1"/>
      <c r="T106" s="1"/>
      <c r="U106" s="1"/>
      <c r="V106" s="1"/>
      <c r="W106" s="1"/>
      <c r="X106" s="1"/>
      <c r="Y106" s="1"/>
      <c r="Z106" s="1"/>
    </row>
    <row r="107" spans="1:26" ht="45" customHeight="1">
      <c r="A107" s="70" t="s">
        <v>113</v>
      </c>
      <c r="B107" s="68"/>
      <c r="C107" s="25">
        <f>5953000-5640000-66000</f>
        <v>247000</v>
      </c>
      <c r="D107" s="15">
        <v>0</v>
      </c>
      <c r="E107" s="27">
        <v>0</v>
      </c>
      <c r="F107" s="27">
        <v>0</v>
      </c>
      <c r="G107" s="27">
        <v>77987</v>
      </c>
      <c r="H107" s="27"/>
      <c r="I107" s="16">
        <f t="shared" si="9"/>
        <v>77987</v>
      </c>
      <c r="J107" s="17">
        <f t="shared" si="10"/>
        <v>0.31573684210526315</v>
      </c>
      <c r="K107" s="73" t="s">
        <v>263</v>
      </c>
      <c r="L107" s="72"/>
      <c r="M107" s="1"/>
      <c r="N107" s="1"/>
      <c r="O107" s="1"/>
      <c r="P107" s="1"/>
      <c r="Q107" s="1"/>
      <c r="R107" s="1"/>
      <c r="S107" s="1"/>
      <c r="T107" s="1"/>
      <c r="U107" s="1"/>
      <c r="V107" s="1"/>
      <c r="W107" s="1"/>
      <c r="X107" s="1"/>
      <c r="Y107" s="1"/>
      <c r="Z107" s="1"/>
    </row>
    <row r="108" spans="1:26" ht="36" customHeight="1">
      <c r="A108" s="70" t="s">
        <v>114</v>
      </c>
      <c r="B108" s="68"/>
      <c r="C108" s="25">
        <f>14033000-12733000</f>
        <v>1300000</v>
      </c>
      <c r="D108" s="15">
        <v>0</v>
      </c>
      <c r="E108" s="27">
        <v>0</v>
      </c>
      <c r="F108" s="27">
        <v>274441</v>
      </c>
      <c r="G108" s="27">
        <v>292248</v>
      </c>
      <c r="H108" s="27"/>
      <c r="I108" s="16">
        <f t="shared" si="9"/>
        <v>566689</v>
      </c>
      <c r="J108" s="17">
        <f t="shared" si="10"/>
        <v>0.4359146153846154</v>
      </c>
      <c r="K108" s="73" t="s">
        <v>220</v>
      </c>
      <c r="L108" s="72"/>
      <c r="M108" s="1"/>
      <c r="N108" s="1"/>
      <c r="O108" s="1"/>
      <c r="P108" s="1"/>
      <c r="Q108" s="1"/>
      <c r="R108" s="1"/>
      <c r="S108" s="1"/>
      <c r="T108" s="1"/>
      <c r="U108" s="1"/>
      <c r="V108" s="1"/>
      <c r="W108" s="1"/>
      <c r="X108" s="1"/>
      <c r="Y108" s="1"/>
      <c r="Z108" s="1"/>
    </row>
    <row r="109" spans="1:26" ht="33.75" customHeight="1">
      <c r="A109" s="70" t="s">
        <v>115</v>
      </c>
      <c r="B109" s="68"/>
      <c r="C109" s="18">
        <f>15967000-13967000</f>
        <v>2000000</v>
      </c>
      <c r="D109" s="15">
        <v>0</v>
      </c>
      <c r="E109" s="27">
        <v>0</v>
      </c>
      <c r="F109" s="27">
        <v>378259</v>
      </c>
      <c r="G109" s="27">
        <v>373532</v>
      </c>
      <c r="H109" s="27"/>
      <c r="I109" s="16">
        <f t="shared" si="9"/>
        <v>751791</v>
      </c>
      <c r="J109" s="17">
        <f t="shared" si="10"/>
        <v>0.37589549999999999</v>
      </c>
      <c r="K109" s="73" t="s">
        <v>220</v>
      </c>
      <c r="L109" s="72"/>
      <c r="M109" s="1"/>
      <c r="N109" s="1"/>
      <c r="O109" s="1"/>
      <c r="P109" s="1"/>
      <c r="Q109" s="1"/>
      <c r="R109" s="1"/>
      <c r="S109" s="1"/>
      <c r="T109" s="1"/>
      <c r="U109" s="1"/>
      <c r="V109" s="1"/>
      <c r="W109" s="1"/>
      <c r="X109" s="1"/>
      <c r="Y109" s="1"/>
      <c r="Z109" s="1"/>
    </row>
    <row r="110" spans="1:26" ht="48.75" customHeight="1">
      <c r="A110" s="70" t="s">
        <v>116</v>
      </c>
      <c r="B110" s="68"/>
      <c r="C110" s="18">
        <f>925228+24132-(674870+21719)</f>
        <v>252771</v>
      </c>
      <c r="D110" s="15">
        <v>0</v>
      </c>
      <c r="E110" s="27">
        <v>55844</v>
      </c>
      <c r="F110" s="27">
        <v>57718</v>
      </c>
      <c r="G110" s="27">
        <v>57567</v>
      </c>
      <c r="H110" s="27"/>
      <c r="I110" s="16">
        <f t="shared" si="9"/>
        <v>171129</v>
      </c>
      <c r="J110" s="17">
        <f t="shared" si="10"/>
        <v>0.6770119990030502</v>
      </c>
      <c r="K110" s="73" t="s">
        <v>215</v>
      </c>
      <c r="L110" s="72"/>
      <c r="M110" s="1"/>
      <c r="N110" s="1"/>
      <c r="O110" s="1"/>
      <c r="P110" s="1"/>
      <c r="Q110" s="1"/>
      <c r="R110" s="1"/>
      <c r="S110" s="1"/>
      <c r="T110" s="1"/>
      <c r="U110" s="1"/>
      <c r="V110" s="1"/>
      <c r="W110" s="1"/>
      <c r="X110" s="1"/>
      <c r="Y110" s="1"/>
      <c r="Z110" s="1"/>
    </row>
    <row r="111" spans="1:26" ht="48.75" customHeight="1">
      <c r="A111" s="70" t="s">
        <v>117</v>
      </c>
      <c r="B111" s="68"/>
      <c r="C111" s="18">
        <f>8954759+951370+1834322+20764+41528+103820+30016-(6294782+883870+1745822+19726+39452+98630+30016)+(157790-374947)</f>
        <v>2607124</v>
      </c>
      <c r="D111" s="15">
        <v>0</v>
      </c>
      <c r="E111" s="27">
        <v>467681</v>
      </c>
      <c r="F111" s="27">
        <v>487523</v>
      </c>
      <c r="G111" s="27">
        <v>544612</v>
      </c>
      <c r="H111" s="27"/>
      <c r="I111" s="16">
        <f t="shared" si="9"/>
        <v>1499816</v>
      </c>
      <c r="J111" s="17">
        <f t="shared" si="10"/>
        <v>0.57527605131171355</v>
      </c>
      <c r="K111" s="73" t="s">
        <v>264</v>
      </c>
      <c r="L111" s="72"/>
      <c r="M111" s="1"/>
      <c r="N111" s="1"/>
      <c r="O111" s="1"/>
      <c r="P111" s="1"/>
      <c r="Q111" s="1"/>
      <c r="R111" s="1"/>
      <c r="S111" s="1"/>
      <c r="T111" s="1"/>
      <c r="U111" s="1"/>
      <c r="V111" s="1"/>
      <c r="W111" s="1"/>
      <c r="X111" s="1"/>
      <c r="Y111" s="1"/>
      <c r="Z111" s="1"/>
    </row>
    <row r="112" spans="1:26" ht="45" customHeight="1">
      <c r="A112" s="70" t="s">
        <v>118</v>
      </c>
      <c r="B112" s="68"/>
      <c r="C112" s="18">
        <f>877195+115323+27409-(700275+115323+21700)+(904758+111714+22812-(665628+100543+20531))+659</f>
        <v>435870</v>
      </c>
      <c r="D112" s="15">
        <v>0</v>
      </c>
      <c r="E112" s="27">
        <v>76402</v>
      </c>
      <c r="F112" s="27">
        <v>93799</v>
      </c>
      <c r="G112" s="27">
        <v>100831</v>
      </c>
      <c r="H112" s="27"/>
      <c r="I112" s="16">
        <f t="shared" si="9"/>
        <v>271032</v>
      </c>
      <c r="J112" s="17">
        <f t="shared" si="10"/>
        <v>0.6218184321013146</v>
      </c>
      <c r="K112" s="73" t="s">
        <v>265</v>
      </c>
      <c r="L112" s="72"/>
      <c r="M112" s="1"/>
      <c r="N112" s="1"/>
      <c r="O112" s="1"/>
      <c r="P112" s="1"/>
      <c r="Q112" s="1"/>
      <c r="R112" s="1"/>
      <c r="S112" s="1"/>
      <c r="T112" s="1"/>
      <c r="U112" s="1"/>
      <c r="V112" s="1"/>
      <c r="W112" s="1"/>
      <c r="X112" s="1"/>
      <c r="Y112" s="1"/>
      <c r="Z112" s="1"/>
    </row>
    <row r="113" spans="1:26" ht="45.75" customHeight="1">
      <c r="A113" s="81" t="s">
        <v>119</v>
      </c>
      <c r="B113" s="68"/>
      <c r="C113" s="14">
        <v>800000</v>
      </c>
      <c r="D113" s="15">
        <v>0</v>
      </c>
      <c r="E113" s="27">
        <v>0</v>
      </c>
      <c r="F113" s="27">
        <v>0</v>
      </c>
      <c r="G113" s="27">
        <v>483000</v>
      </c>
      <c r="H113" s="27"/>
      <c r="I113" s="16">
        <f t="shared" si="9"/>
        <v>483000</v>
      </c>
      <c r="J113" s="17">
        <f t="shared" si="10"/>
        <v>0.60375000000000001</v>
      </c>
      <c r="K113" s="82" t="s">
        <v>280</v>
      </c>
      <c r="L113" s="72"/>
      <c r="M113" s="1"/>
      <c r="N113" s="1"/>
      <c r="O113" s="1"/>
      <c r="P113" s="1"/>
      <c r="Q113" s="1"/>
      <c r="R113" s="1"/>
      <c r="S113" s="1"/>
      <c r="T113" s="1"/>
      <c r="U113" s="1"/>
      <c r="V113" s="1"/>
      <c r="W113" s="1"/>
      <c r="X113" s="1"/>
      <c r="Y113" s="1"/>
      <c r="Z113" s="1"/>
    </row>
    <row r="114" spans="1:26" ht="33.75" customHeight="1">
      <c r="A114" s="81" t="s">
        <v>120</v>
      </c>
      <c r="B114" s="68"/>
      <c r="C114" s="14">
        <v>950000</v>
      </c>
      <c r="D114" s="15">
        <v>0</v>
      </c>
      <c r="E114" s="27">
        <v>0</v>
      </c>
      <c r="F114" s="27">
        <v>0</v>
      </c>
      <c r="G114" s="27">
        <v>0</v>
      </c>
      <c r="H114" s="27"/>
      <c r="I114" s="16">
        <f t="shared" si="9"/>
        <v>0</v>
      </c>
      <c r="J114" s="17">
        <f t="shared" si="10"/>
        <v>0</v>
      </c>
      <c r="K114" s="82" t="s">
        <v>271</v>
      </c>
      <c r="L114" s="72"/>
      <c r="M114" s="1"/>
      <c r="N114" s="1"/>
      <c r="O114" s="1"/>
      <c r="P114" s="1"/>
      <c r="Q114" s="1"/>
      <c r="R114" s="1"/>
      <c r="S114" s="1"/>
      <c r="T114" s="1"/>
      <c r="U114" s="1"/>
      <c r="V114" s="1"/>
      <c r="W114" s="1"/>
      <c r="X114" s="1"/>
      <c r="Y114" s="1"/>
      <c r="Z114" s="1"/>
    </row>
    <row r="115" spans="1:26" ht="36.75" customHeight="1">
      <c r="A115" s="81" t="s">
        <v>121</v>
      </c>
      <c r="B115" s="68"/>
      <c r="C115" s="25">
        <f>700000-100000</f>
        <v>600000</v>
      </c>
      <c r="D115" s="15">
        <v>0</v>
      </c>
      <c r="E115" s="27">
        <v>0</v>
      </c>
      <c r="F115" s="27">
        <v>47143</v>
      </c>
      <c r="G115" s="27">
        <v>137143</v>
      </c>
      <c r="H115" s="27"/>
      <c r="I115" s="16">
        <f t="shared" si="9"/>
        <v>184286</v>
      </c>
      <c r="J115" s="17">
        <f t="shared" si="10"/>
        <v>0.30714333333333332</v>
      </c>
      <c r="K115" s="73" t="s">
        <v>223</v>
      </c>
      <c r="L115" s="72"/>
      <c r="M115" s="1"/>
      <c r="N115" s="1"/>
      <c r="O115" s="1"/>
      <c r="P115" s="1"/>
      <c r="Q115" s="1"/>
      <c r="R115" s="1"/>
      <c r="S115" s="1"/>
      <c r="T115" s="1"/>
      <c r="U115" s="1"/>
      <c r="V115" s="1"/>
      <c r="W115" s="1"/>
      <c r="X115" s="1"/>
      <c r="Y115" s="1"/>
      <c r="Z115" s="1"/>
    </row>
    <row r="116" spans="1:26" ht="36.75" customHeight="1">
      <c r="A116" s="81" t="s">
        <v>122</v>
      </c>
      <c r="B116" s="68"/>
      <c r="C116" s="14">
        <v>300000</v>
      </c>
      <c r="D116" s="15">
        <v>0</v>
      </c>
      <c r="E116" s="27">
        <v>0</v>
      </c>
      <c r="F116" s="27">
        <v>268440</v>
      </c>
      <c r="G116" s="27">
        <v>0</v>
      </c>
      <c r="H116" s="27"/>
      <c r="I116" s="16">
        <f t="shared" si="9"/>
        <v>268440</v>
      </c>
      <c r="J116" s="17">
        <f t="shared" si="10"/>
        <v>0.89480000000000004</v>
      </c>
      <c r="K116" s="73"/>
      <c r="L116" s="72"/>
      <c r="M116" s="1"/>
      <c r="N116" s="1"/>
      <c r="O116" s="1"/>
      <c r="P116" s="1"/>
      <c r="Q116" s="1"/>
      <c r="R116" s="1"/>
      <c r="S116" s="1"/>
      <c r="T116" s="1"/>
      <c r="U116" s="1"/>
      <c r="V116" s="1"/>
      <c r="W116" s="1"/>
      <c r="X116" s="1"/>
      <c r="Y116" s="1"/>
      <c r="Z116" s="1"/>
    </row>
    <row r="117" spans="1:26" ht="39.75" customHeight="1">
      <c r="A117" s="81" t="s">
        <v>123</v>
      </c>
      <c r="B117" s="68"/>
      <c r="C117" s="24">
        <f>34000+124000</f>
        <v>158000</v>
      </c>
      <c r="D117" s="15">
        <v>0</v>
      </c>
      <c r="E117" s="27">
        <v>0</v>
      </c>
      <c r="F117" s="27">
        <v>0</v>
      </c>
      <c r="G117" s="27">
        <v>158000</v>
      </c>
      <c r="H117" s="27"/>
      <c r="I117" s="16">
        <f t="shared" si="9"/>
        <v>158000</v>
      </c>
      <c r="J117" s="17">
        <f t="shared" si="10"/>
        <v>1</v>
      </c>
      <c r="K117" s="82" t="s">
        <v>242</v>
      </c>
      <c r="L117" s="72"/>
      <c r="M117" s="1"/>
      <c r="N117" s="1"/>
      <c r="O117" s="1"/>
      <c r="P117" s="1"/>
      <c r="Q117" s="1"/>
      <c r="R117" s="1"/>
      <c r="S117" s="1"/>
      <c r="T117" s="1"/>
      <c r="U117" s="1"/>
      <c r="V117" s="1"/>
      <c r="W117" s="1"/>
      <c r="X117" s="1"/>
      <c r="Y117" s="1"/>
      <c r="Z117" s="1"/>
    </row>
    <row r="118" spans="1:26" ht="18.75" customHeight="1">
      <c r="A118" s="83" t="s">
        <v>64</v>
      </c>
      <c r="B118" s="68"/>
      <c r="C118" s="22">
        <f t="shared" ref="C118:I118" si="11">SUM(C91:C117)</f>
        <v>34382867</v>
      </c>
      <c r="D118" s="22">
        <f t="shared" si="11"/>
        <v>0</v>
      </c>
      <c r="E118" s="22">
        <f t="shared" si="11"/>
        <v>2085007</v>
      </c>
      <c r="F118" s="22">
        <f t="shared" si="11"/>
        <v>5837015</v>
      </c>
      <c r="G118" s="22">
        <f t="shared" si="11"/>
        <v>7304508</v>
      </c>
      <c r="H118" s="22">
        <f t="shared" si="11"/>
        <v>0</v>
      </c>
      <c r="I118" s="22">
        <f t="shared" si="11"/>
        <v>15226530</v>
      </c>
      <c r="J118" s="23">
        <f t="shared" si="10"/>
        <v>0.44285224963933345</v>
      </c>
      <c r="K118" s="84"/>
      <c r="L118" s="68"/>
      <c r="M118" s="1"/>
      <c r="N118" s="1"/>
      <c r="O118" s="1"/>
      <c r="P118" s="1"/>
      <c r="Q118" s="1"/>
      <c r="R118" s="1"/>
      <c r="S118" s="1"/>
      <c r="T118" s="1"/>
      <c r="U118" s="1"/>
      <c r="V118" s="1"/>
      <c r="W118" s="1"/>
      <c r="X118" s="1"/>
      <c r="Y118" s="1"/>
      <c r="Z118" s="1"/>
    </row>
    <row r="119" spans="1:26" ht="21.75" customHeight="1">
      <c r="A119" s="67" t="s">
        <v>124</v>
      </c>
      <c r="B119" s="68"/>
      <c r="C119" s="12"/>
      <c r="D119" s="13"/>
      <c r="E119" s="13"/>
      <c r="F119" s="13"/>
      <c r="G119" s="13"/>
      <c r="H119" s="13"/>
      <c r="I119" s="13"/>
      <c r="J119" s="13"/>
      <c r="K119" s="69"/>
      <c r="L119" s="68"/>
      <c r="M119" s="1"/>
      <c r="N119" s="1"/>
      <c r="O119" s="1"/>
      <c r="P119" s="1"/>
      <c r="Q119" s="1"/>
      <c r="R119" s="1"/>
      <c r="S119" s="1"/>
      <c r="T119" s="1"/>
      <c r="U119" s="1"/>
      <c r="V119" s="1"/>
      <c r="W119" s="1"/>
      <c r="X119" s="1"/>
      <c r="Y119" s="1"/>
      <c r="Z119" s="1"/>
    </row>
    <row r="120" spans="1:26" ht="32.25" customHeight="1">
      <c r="A120" s="70" t="s">
        <v>125</v>
      </c>
      <c r="B120" s="68"/>
      <c r="C120" s="24">
        <f>889541+300000</f>
        <v>1189541</v>
      </c>
      <c r="D120" s="15">
        <v>0</v>
      </c>
      <c r="E120" s="27">
        <v>290846</v>
      </c>
      <c r="F120" s="27">
        <v>263791</v>
      </c>
      <c r="G120" s="27">
        <v>237238</v>
      </c>
      <c r="H120" s="27"/>
      <c r="I120" s="16">
        <f t="shared" ref="I120:I132" si="12">SUM(E120:H120)</f>
        <v>791875</v>
      </c>
      <c r="J120" s="17">
        <f t="shared" ref="J120:J133" si="13">IFERROR((I120/(C120+D120)),0)</f>
        <v>0.66569794567820695</v>
      </c>
      <c r="K120" s="73"/>
      <c r="L120" s="72"/>
      <c r="M120" s="1"/>
      <c r="N120" s="1"/>
      <c r="O120" s="1"/>
      <c r="P120" s="1"/>
      <c r="Q120" s="1"/>
      <c r="R120" s="1"/>
      <c r="S120" s="1"/>
      <c r="T120" s="1"/>
      <c r="U120" s="1"/>
      <c r="V120" s="1"/>
      <c r="W120" s="1"/>
      <c r="X120" s="1"/>
      <c r="Y120" s="1"/>
      <c r="Z120" s="1"/>
    </row>
    <row r="121" spans="1:26" ht="32.25" customHeight="1">
      <c r="A121" s="70" t="s">
        <v>126</v>
      </c>
      <c r="B121" s="68"/>
      <c r="C121" s="24">
        <f>859440+600000</f>
        <v>1459440</v>
      </c>
      <c r="D121" s="15">
        <v>0</v>
      </c>
      <c r="E121" s="27">
        <v>401093</v>
      </c>
      <c r="F121" s="27">
        <v>387860</v>
      </c>
      <c r="G121" s="27">
        <v>320796</v>
      </c>
      <c r="H121" s="27"/>
      <c r="I121" s="16">
        <f t="shared" si="12"/>
        <v>1109749</v>
      </c>
      <c r="J121" s="17">
        <f t="shared" si="13"/>
        <v>0.76039371265690947</v>
      </c>
      <c r="K121" s="73"/>
      <c r="L121" s="72"/>
      <c r="M121" s="1"/>
      <c r="N121" s="1"/>
      <c r="O121" s="1"/>
      <c r="P121" s="1"/>
      <c r="Q121" s="1"/>
      <c r="R121" s="1"/>
      <c r="S121" s="1"/>
      <c r="T121" s="1"/>
      <c r="U121" s="1"/>
      <c r="V121" s="1"/>
      <c r="W121" s="1"/>
      <c r="X121" s="1"/>
      <c r="Y121" s="1"/>
      <c r="Z121" s="1"/>
    </row>
    <row r="122" spans="1:26" ht="32.25" customHeight="1">
      <c r="A122" s="70" t="s">
        <v>127</v>
      </c>
      <c r="B122" s="68"/>
      <c r="C122" s="14">
        <v>600000</v>
      </c>
      <c r="D122" s="15">
        <v>0</v>
      </c>
      <c r="E122" s="27">
        <v>25182</v>
      </c>
      <c r="F122" s="27">
        <v>50892</v>
      </c>
      <c r="G122" s="27">
        <v>164359</v>
      </c>
      <c r="H122" s="27"/>
      <c r="I122" s="16">
        <f t="shared" si="12"/>
        <v>240433</v>
      </c>
      <c r="J122" s="17">
        <f t="shared" si="13"/>
        <v>0.40072166666666664</v>
      </c>
      <c r="K122" s="82" t="s">
        <v>128</v>
      </c>
      <c r="L122" s="72"/>
      <c r="M122" s="1"/>
      <c r="N122" s="1"/>
      <c r="O122" s="1"/>
      <c r="P122" s="1"/>
      <c r="Q122" s="1"/>
      <c r="R122" s="1"/>
      <c r="S122" s="1"/>
      <c r="T122" s="1"/>
      <c r="U122" s="1"/>
      <c r="V122" s="1"/>
      <c r="W122" s="1"/>
      <c r="X122" s="1"/>
      <c r="Y122" s="1"/>
      <c r="Z122" s="1"/>
    </row>
    <row r="123" spans="1:26" ht="30" customHeight="1">
      <c r="A123" s="70" t="s">
        <v>129</v>
      </c>
      <c r="B123" s="68"/>
      <c r="C123" s="18">
        <f>1133940+959585-(938623+860000)</f>
        <v>294902</v>
      </c>
      <c r="D123" s="15">
        <v>0</v>
      </c>
      <c r="E123" s="27">
        <v>29100</v>
      </c>
      <c r="F123" s="27">
        <v>31486</v>
      </c>
      <c r="G123" s="27">
        <v>29580</v>
      </c>
      <c r="H123" s="27"/>
      <c r="I123" s="16">
        <f t="shared" si="12"/>
        <v>90166</v>
      </c>
      <c r="J123" s="17">
        <f t="shared" si="13"/>
        <v>0.3057490284908207</v>
      </c>
      <c r="K123" s="82" t="s">
        <v>128</v>
      </c>
      <c r="L123" s="72"/>
      <c r="M123" s="1"/>
      <c r="N123" s="1"/>
      <c r="O123" s="1"/>
      <c r="P123" s="1"/>
      <c r="Q123" s="1"/>
      <c r="R123" s="1"/>
      <c r="S123" s="1"/>
      <c r="T123" s="1"/>
      <c r="U123" s="1"/>
      <c r="V123" s="1"/>
      <c r="W123" s="1"/>
      <c r="X123" s="1"/>
      <c r="Y123" s="1"/>
      <c r="Z123" s="1"/>
    </row>
    <row r="124" spans="1:26" ht="31.5" customHeight="1">
      <c r="A124" s="70" t="s">
        <v>130</v>
      </c>
      <c r="B124" s="68"/>
      <c r="C124" s="25">
        <f>1138784-960623-3168</f>
        <v>174993</v>
      </c>
      <c r="D124" s="15">
        <v>0</v>
      </c>
      <c r="E124" s="27">
        <v>28364</v>
      </c>
      <c r="F124" s="27">
        <v>33829</v>
      </c>
      <c r="G124" s="27">
        <v>37494</v>
      </c>
      <c r="H124" s="27"/>
      <c r="I124" s="16">
        <f t="shared" si="12"/>
        <v>99687</v>
      </c>
      <c r="J124" s="17">
        <f t="shared" si="13"/>
        <v>0.56966278651146041</v>
      </c>
      <c r="K124" s="73" t="s">
        <v>266</v>
      </c>
      <c r="L124" s="72"/>
      <c r="M124" s="1"/>
      <c r="N124" s="1"/>
      <c r="O124" s="1"/>
      <c r="P124" s="1"/>
      <c r="Q124" s="1"/>
      <c r="R124" s="1"/>
      <c r="S124" s="1"/>
      <c r="T124" s="1"/>
      <c r="U124" s="1"/>
      <c r="V124" s="1"/>
      <c r="W124" s="1"/>
      <c r="X124" s="1"/>
      <c r="Y124" s="1"/>
      <c r="Z124" s="1"/>
    </row>
    <row r="125" spans="1:26" ht="33.75" customHeight="1">
      <c r="A125" s="70" t="s">
        <v>131</v>
      </c>
      <c r="B125" s="68"/>
      <c r="C125" s="25">
        <f>1451832-1040000</f>
        <v>411832</v>
      </c>
      <c r="D125" s="15">
        <v>0</v>
      </c>
      <c r="E125" s="27">
        <v>57057</v>
      </c>
      <c r="F125" s="27">
        <v>85930</v>
      </c>
      <c r="G125" s="27">
        <v>77603</v>
      </c>
      <c r="H125" s="27"/>
      <c r="I125" s="16">
        <f t="shared" si="12"/>
        <v>220590</v>
      </c>
      <c r="J125" s="17">
        <f t="shared" si="13"/>
        <v>0.53563103401386969</v>
      </c>
      <c r="K125" s="73" t="s">
        <v>205</v>
      </c>
      <c r="L125" s="72"/>
      <c r="M125" s="1"/>
      <c r="N125" s="1"/>
      <c r="O125" s="1"/>
      <c r="P125" s="1"/>
      <c r="Q125" s="1"/>
      <c r="R125" s="1"/>
      <c r="S125" s="1"/>
      <c r="T125" s="1"/>
      <c r="U125" s="1"/>
      <c r="V125" s="1"/>
      <c r="W125" s="1"/>
      <c r="X125" s="1"/>
      <c r="Y125" s="1"/>
      <c r="Z125" s="1"/>
    </row>
    <row r="126" spans="1:26" ht="34.5" customHeight="1">
      <c r="A126" s="70" t="s">
        <v>132</v>
      </c>
      <c r="B126" s="68"/>
      <c r="C126" s="14">
        <v>250000</v>
      </c>
      <c r="D126" s="15">
        <v>0</v>
      </c>
      <c r="E126" s="27">
        <v>0</v>
      </c>
      <c r="F126" s="27">
        <v>0</v>
      </c>
      <c r="G126" s="27">
        <v>0</v>
      </c>
      <c r="H126" s="27"/>
      <c r="I126" s="16">
        <f t="shared" si="12"/>
        <v>0</v>
      </c>
      <c r="J126" s="17">
        <f t="shared" si="13"/>
        <v>0</v>
      </c>
      <c r="K126" s="82" t="s">
        <v>267</v>
      </c>
      <c r="L126" s="72"/>
      <c r="M126" s="1"/>
      <c r="N126" s="1"/>
      <c r="O126" s="1"/>
      <c r="P126" s="1"/>
      <c r="Q126" s="1"/>
      <c r="R126" s="1"/>
      <c r="S126" s="1"/>
      <c r="T126" s="1"/>
      <c r="U126" s="1"/>
      <c r="V126" s="1"/>
      <c r="W126" s="1"/>
      <c r="X126" s="1"/>
      <c r="Y126" s="1"/>
      <c r="Z126" s="1"/>
    </row>
    <row r="127" spans="1:26" ht="34.5" customHeight="1">
      <c r="A127" s="70" t="s">
        <v>272</v>
      </c>
      <c r="B127" s="68"/>
      <c r="C127" s="14">
        <v>418760</v>
      </c>
      <c r="D127" s="15">
        <v>0</v>
      </c>
      <c r="E127" s="27">
        <v>0</v>
      </c>
      <c r="F127" s="27">
        <v>0</v>
      </c>
      <c r="G127" s="27">
        <v>0</v>
      </c>
      <c r="H127" s="27"/>
      <c r="I127" s="16">
        <f t="shared" si="12"/>
        <v>0</v>
      </c>
      <c r="J127" s="17">
        <f t="shared" si="13"/>
        <v>0</v>
      </c>
      <c r="K127" s="82" t="s">
        <v>278</v>
      </c>
      <c r="L127" s="72"/>
      <c r="M127" s="1"/>
      <c r="N127" s="1"/>
      <c r="O127" s="1"/>
      <c r="P127" s="1"/>
      <c r="Q127" s="1"/>
      <c r="R127" s="1"/>
      <c r="S127" s="1"/>
      <c r="T127" s="1"/>
      <c r="U127" s="1"/>
      <c r="V127" s="1"/>
      <c r="W127" s="1"/>
      <c r="X127" s="1"/>
      <c r="Y127" s="1"/>
      <c r="Z127" s="1"/>
    </row>
    <row r="128" spans="1:26" ht="36.75" customHeight="1">
      <c r="A128" s="70" t="s">
        <v>133</v>
      </c>
      <c r="B128" s="68"/>
      <c r="C128" s="14">
        <v>400000</v>
      </c>
      <c r="D128" s="15">
        <v>0</v>
      </c>
      <c r="E128" s="27">
        <v>0</v>
      </c>
      <c r="F128" s="27">
        <v>126000</v>
      </c>
      <c r="G128" s="27">
        <v>72000</v>
      </c>
      <c r="H128" s="27"/>
      <c r="I128" s="16">
        <f t="shared" si="12"/>
        <v>198000</v>
      </c>
      <c r="J128" s="17">
        <f t="shared" si="13"/>
        <v>0.495</v>
      </c>
      <c r="K128" s="82" t="s">
        <v>128</v>
      </c>
      <c r="L128" s="72"/>
      <c r="M128" s="1"/>
      <c r="N128" s="1"/>
      <c r="O128" s="1"/>
      <c r="P128" s="1"/>
      <c r="Q128" s="1"/>
      <c r="R128" s="1"/>
      <c r="S128" s="1"/>
      <c r="T128" s="1"/>
      <c r="U128" s="1"/>
      <c r="V128" s="1"/>
      <c r="W128" s="1"/>
      <c r="X128" s="1"/>
      <c r="Y128" s="1"/>
      <c r="Z128" s="1"/>
    </row>
    <row r="129" spans="1:26" ht="31.5" customHeight="1">
      <c r="A129" s="70" t="s">
        <v>134</v>
      </c>
      <c r="B129" s="68"/>
      <c r="C129" s="25">
        <f>895602+1075250-(675881+967725)</f>
        <v>327246</v>
      </c>
      <c r="D129" s="15">
        <v>0</v>
      </c>
      <c r="E129" s="27">
        <v>33545</v>
      </c>
      <c r="F129" s="27">
        <v>34056</v>
      </c>
      <c r="G129" s="27">
        <v>76071</v>
      </c>
      <c r="H129" s="27"/>
      <c r="I129" s="16">
        <f t="shared" si="12"/>
        <v>143672</v>
      </c>
      <c r="J129" s="17">
        <f t="shared" si="13"/>
        <v>0.43903363219107339</v>
      </c>
      <c r="K129" s="82" t="s">
        <v>128</v>
      </c>
      <c r="L129" s="72"/>
      <c r="M129" s="1"/>
      <c r="N129" s="1"/>
      <c r="O129" s="1"/>
      <c r="P129" s="1"/>
      <c r="Q129" s="1"/>
      <c r="R129" s="1"/>
      <c r="S129" s="1"/>
      <c r="T129" s="1"/>
      <c r="U129" s="1"/>
      <c r="V129" s="1"/>
      <c r="W129" s="1"/>
      <c r="X129" s="1"/>
      <c r="Y129" s="1"/>
      <c r="Z129" s="1"/>
    </row>
    <row r="130" spans="1:26" ht="43.5" customHeight="1">
      <c r="A130" s="70" t="s">
        <v>135</v>
      </c>
      <c r="B130" s="68"/>
      <c r="C130" s="18">
        <f>5675342+147408-(4326604+129470)</f>
        <v>1366676</v>
      </c>
      <c r="D130" s="15">
        <v>0</v>
      </c>
      <c r="E130" s="27">
        <v>297780</v>
      </c>
      <c r="F130" s="27">
        <v>301898</v>
      </c>
      <c r="G130" s="27">
        <v>316539</v>
      </c>
      <c r="H130" s="27"/>
      <c r="I130" s="16">
        <f t="shared" si="12"/>
        <v>916217</v>
      </c>
      <c r="J130" s="17">
        <f t="shared" si="13"/>
        <v>0.67039810459831006</v>
      </c>
      <c r="K130" s="73"/>
      <c r="L130" s="72"/>
      <c r="M130" s="1"/>
      <c r="N130" s="1"/>
      <c r="O130" s="1"/>
      <c r="P130" s="1"/>
      <c r="Q130" s="1"/>
      <c r="R130" s="1"/>
      <c r="S130" s="1"/>
      <c r="T130" s="1"/>
      <c r="U130" s="1"/>
      <c r="V130" s="1"/>
      <c r="W130" s="1"/>
      <c r="X130" s="1"/>
      <c r="Y130" s="1"/>
      <c r="Z130" s="1"/>
    </row>
    <row r="131" spans="1:26" ht="36" customHeight="1">
      <c r="A131" s="70" t="s">
        <v>136</v>
      </c>
      <c r="B131" s="68"/>
      <c r="C131" s="18">
        <f>1130286+30613-(885108+27552)</f>
        <v>248239</v>
      </c>
      <c r="D131" s="15">
        <v>0</v>
      </c>
      <c r="E131" s="27">
        <v>56177</v>
      </c>
      <c r="F131" s="27">
        <v>61493</v>
      </c>
      <c r="G131" s="27">
        <v>58524</v>
      </c>
      <c r="H131" s="27"/>
      <c r="I131" s="16">
        <f t="shared" si="12"/>
        <v>176194</v>
      </c>
      <c r="J131" s="17">
        <f t="shared" si="13"/>
        <v>0.70977565974725965</v>
      </c>
      <c r="K131" s="73"/>
      <c r="L131" s="72"/>
      <c r="M131" s="1"/>
      <c r="N131" s="1"/>
      <c r="O131" s="1"/>
      <c r="P131" s="1"/>
      <c r="Q131" s="1"/>
      <c r="R131" s="1"/>
      <c r="S131" s="1"/>
      <c r="T131" s="1"/>
      <c r="U131" s="1"/>
      <c r="V131" s="1"/>
      <c r="W131" s="1"/>
      <c r="X131" s="1"/>
      <c r="Y131" s="1"/>
      <c r="Z131" s="1"/>
    </row>
    <row r="132" spans="1:26" ht="39" customHeight="1">
      <c r="A132" s="70" t="s">
        <v>137</v>
      </c>
      <c r="B132" s="68"/>
      <c r="C132" s="18">
        <f>1023733+27147-(755722+23393)</f>
        <v>271765</v>
      </c>
      <c r="D132" s="15">
        <v>0</v>
      </c>
      <c r="E132" s="27">
        <v>61677</v>
      </c>
      <c r="F132" s="27">
        <v>60751</v>
      </c>
      <c r="G132" s="27">
        <v>59171</v>
      </c>
      <c r="H132" s="27"/>
      <c r="I132" s="16">
        <f t="shared" si="12"/>
        <v>181599</v>
      </c>
      <c r="J132" s="17">
        <f t="shared" si="13"/>
        <v>0.66822070538884704</v>
      </c>
      <c r="K132" s="73"/>
      <c r="L132" s="72"/>
      <c r="M132" s="1"/>
      <c r="N132" s="1"/>
      <c r="O132" s="1"/>
      <c r="P132" s="1"/>
      <c r="Q132" s="1"/>
      <c r="R132" s="1"/>
      <c r="S132" s="1"/>
      <c r="T132" s="1"/>
      <c r="U132" s="1"/>
      <c r="V132" s="1"/>
      <c r="W132" s="1"/>
      <c r="X132" s="1"/>
      <c r="Y132" s="1"/>
      <c r="Z132" s="1"/>
    </row>
    <row r="133" spans="1:26" ht="18.75" customHeight="1">
      <c r="A133" s="83" t="s">
        <v>64</v>
      </c>
      <c r="B133" s="68"/>
      <c r="C133" s="22">
        <f t="shared" ref="C133:I133" si="14">SUM(C120:C132)</f>
        <v>7413394</v>
      </c>
      <c r="D133" s="22">
        <f t="shared" si="14"/>
        <v>0</v>
      </c>
      <c r="E133" s="22">
        <f t="shared" si="14"/>
        <v>1280821</v>
      </c>
      <c r="F133" s="22">
        <f t="shared" si="14"/>
        <v>1437986</v>
      </c>
      <c r="G133" s="22">
        <f t="shared" si="14"/>
        <v>1449375</v>
      </c>
      <c r="H133" s="22">
        <f t="shared" si="14"/>
        <v>0</v>
      </c>
      <c r="I133" s="22">
        <f t="shared" si="14"/>
        <v>4168182</v>
      </c>
      <c r="J133" s="23">
        <f t="shared" si="13"/>
        <v>0.56225016503911707</v>
      </c>
      <c r="K133" s="84"/>
      <c r="L133" s="68"/>
      <c r="M133" s="1"/>
      <c r="N133" s="1"/>
      <c r="O133" s="1"/>
      <c r="P133" s="1"/>
      <c r="Q133" s="1"/>
      <c r="R133" s="1"/>
      <c r="S133" s="1"/>
      <c r="T133" s="1"/>
      <c r="U133" s="1"/>
      <c r="V133" s="1"/>
      <c r="W133" s="1"/>
      <c r="X133" s="1"/>
      <c r="Y133" s="1"/>
      <c r="Z133" s="1"/>
    </row>
    <row r="134" spans="1:26" ht="21.75" customHeight="1">
      <c r="A134" s="67" t="s">
        <v>138</v>
      </c>
      <c r="B134" s="68"/>
      <c r="C134" s="12"/>
      <c r="D134" s="13"/>
      <c r="E134" s="13"/>
      <c r="F134" s="13"/>
      <c r="G134" s="13"/>
      <c r="H134" s="13"/>
      <c r="I134" s="13"/>
      <c r="J134" s="13"/>
      <c r="K134" s="69"/>
      <c r="L134" s="68"/>
      <c r="M134" s="1"/>
      <c r="N134" s="1"/>
      <c r="O134" s="1"/>
      <c r="P134" s="1"/>
      <c r="Q134" s="1"/>
      <c r="R134" s="1"/>
      <c r="S134" s="1"/>
      <c r="T134" s="1"/>
      <c r="U134" s="1"/>
      <c r="V134" s="1"/>
      <c r="W134" s="1"/>
      <c r="X134" s="1"/>
      <c r="Y134" s="1"/>
      <c r="Z134" s="1"/>
    </row>
    <row r="135" spans="1:26" ht="57" customHeight="1">
      <c r="A135" s="70" t="s">
        <v>139</v>
      </c>
      <c r="B135" s="68"/>
      <c r="C135" s="14">
        <f>1884960-858960</f>
        <v>1026000</v>
      </c>
      <c r="D135" s="15">
        <v>0</v>
      </c>
      <c r="E135" s="27">
        <v>0</v>
      </c>
      <c r="F135" s="27">
        <v>0</v>
      </c>
      <c r="G135" s="27">
        <v>0</v>
      </c>
      <c r="H135" s="27"/>
      <c r="I135" s="16">
        <f t="shared" ref="I135:I156" si="15">SUM(E135:H135)</f>
        <v>0</v>
      </c>
      <c r="J135" s="17">
        <f t="shared" ref="J135:J155" si="16">IFERROR((I135/(C135+D135)),0)</f>
        <v>0</v>
      </c>
      <c r="K135" s="82" t="s">
        <v>268</v>
      </c>
      <c r="L135" s="72"/>
      <c r="M135" s="1"/>
      <c r="N135" s="1"/>
      <c r="O135" s="1"/>
      <c r="P135" s="1"/>
      <c r="Q135" s="1"/>
      <c r="R135" s="1"/>
      <c r="S135" s="1"/>
      <c r="T135" s="1"/>
      <c r="U135" s="1"/>
      <c r="V135" s="1"/>
      <c r="W135" s="1"/>
      <c r="X135" s="1"/>
      <c r="Y135" s="1"/>
      <c r="Z135" s="1"/>
    </row>
    <row r="136" spans="1:26" ht="53.25" customHeight="1">
      <c r="A136" s="70" t="s">
        <v>140</v>
      </c>
      <c r="B136" s="68"/>
      <c r="C136" s="14">
        <v>150000</v>
      </c>
      <c r="D136" s="15">
        <v>0</v>
      </c>
      <c r="E136" s="27">
        <v>38973</v>
      </c>
      <c r="F136" s="27">
        <v>20000</v>
      </c>
      <c r="G136" s="27">
        <v>14161</v>
      </c>
      <c r="H136" s="27"/>
      <c r="I136" s="16">
        <f t="shared" si="15"/>
        <v>73134</v>
      </c>
      <c r="J136" s="17">
        <f t="shared" si="16"/>
        <v>0.48755999999999999</v>
      </c>
      <c r="K136" s="73" t="s">
        <v>205</v>
      </c>
      <c r="L136" s="72"/>
      <c r="M136" s="1"/>
      <c r="N136" s="1"/>
      <c r="O136" s="1"/>
      <c r="P136" s="1"/>
      <c r="Q136" s="1"/>
      <c r="R136" s="1"/>
      <c r="S136" s="1"/>
      <c r="T136" s="1"/>
      <c r="U136" s="1"/>
      <c r="V136" s="1"/>
      <c r="W136" s="1"/>
      <c r="X136" s="1"/>
      <c r="Y136" s="1"/>
      <c r="Z136" s="1"/>
    </row>
    <row r="137" spans="1:26" ht="33.75" customHeight="1">
      <c r="A137" s="70" t="s">
        <v>141</v>
      </c>
      <c r="B137" s="68"/>
      <c r="C137" s="14">
        <v>160000</v>
      </c>
      <c r="D137" s="15">
        <v>0</v>
      </c>
      <c r="E137" s="27">
        <v>0</v>
      </c>
      <c r="F137" s="27">
        <v>0</v>
      </c>
      <c r="G137" s="27">
        <v>0</v>
      </c>
      <c r="H137" s="27"/>
      <c r="I137" s="16">
        <f t="shared" si="15"/>
        <v>0</v>
      </c>
      <c r="J137" s="17">
        <f t="shared" si="16"/>
        <v>0</v>
      </c>
      <c r="K137" s="71" t="s">
        <v>279</v>
      </c>
      <c r="L137" s="72"/>
      <c r="M137" s="1"/>
      <c r="N137" s="1"/>
      <c r="O137" s="1"/>
      <c r="P137" s="1"/>
      <c r="Q137" s="1"/>
      <c r="R137" s="1"/>
      <c r="S137" s="1"/>
      <c r="T137" s="1"/>
      <c r="U137" s="1"/>
      <c r="V137" s="1"/>
      <c r="W137" s="1"/>
      <c r="X137" s="1"/>
      <c r="Y137" s="1"/>
      <c r="Z137" s="1"/>
    </row>
    <row r="138" spans="1:26" ht="35.25" customHeight="1">
      <c r="A138" s="70" t="s">
        <v>142</v>
      </c>
      <c r="B138" s="68"/>
      <c r="C138" s="14">
        <v>380000</v>
      </c>
      <c r="D138" s="15">
        <v>0</v>
      </c>
      <c r="E138" s="27">
        <v>0</v>
      </c>
      <c r="F138" s="27">
        <v>100580</v>
      </c>
      <c r="G138" s="27">
        <v>0</v>
      </c>
      <c r="H138" s="27"/>
      <c r="I138" s="16">
        <f t="shared" si="15"/>
        <v>100580</v>
      </c>
      <c r="J138" s="17">
        <f t="shared" si="16"/>
        <v>0.2646842105263158</v>
      </c>
      <c r="K138" s="73" t="s">
        <v>221</v>
      </c>
      <c r="L138" s="72"/>
      <c r="M138" s="1"/>
      <c r="N138" s="1"/>
      <c r="O138" s="1"/>
      <c r="P138" s="1"/>
      <c r="Q138" s="1"/>
      <c r="R138" s="1"/>
      <c r="S138" s="1"/>
      <c r="T138" s="1"/>
      <c r="U138" s="1"/>
      <c r="V138" s="1"/>
      <c r="W138" s="1"/>
      <c r="X138" s="1"/>
      <c r="Y138" s="1"/>
      <c r="Z138" s="1"/>
    </row>
    <row r="139" spans="1:26" ht="36" customHeight="1">
      <c r="A139" s="70" t="s">
        <v>143</v>
      </c>
      <c r="B139" s="68"/>
      <c r="C139" s="24">
        <f>2000000+50000</f>
        <v>2050000</v>
      </c>
      <c r="D139" s="15">
        <v>0</v>
      </c>
      <c r="E139" s="27">
        <v>0</v>
      </c>
      <c r="F139" s="27">
        <v>0</v>
      </c>
      <c r="G139" s="27">
        <v>0</v>
      </c>
      <c r="H139" s="27"/>
      <c r="I139" s="16">
        <f t="shared" si="15"/>
        <v>0</v>
      </c>
      <c r="J139" s="17">
        <f t="shared" si="16"/>
        <v>0</v>
      </c>
      <c r="K139" s="73" t="s">
        <v>277</v>
      </c>
      <c r="L139" s="72"/>
      <c r="M139" s="1"/>
      <c r="N139" s="1"/>
      <c r="O139" s="1"/>
      <c r="P139" s="1"/>
      <c r="Q139" s="1"/>
      <c r="R139" s="1"/>
      <c r="S139" s="1"/>
      <c r="T139" s="1"/>
      <c r="U139" s="1"/>
      <c r="V139" s="1"/>
      <c r="W139" s="1"/>
      <c r="X139" s="1"/>
      <c r="Y139" s="1"/>
      <c r="Z139" s="1"/>
    </row>
    <row r="140" spans="1:26" ht="37.5" customHeight="1">
      <c r="A140" s="70" t="s">
        <v>144</v>
      </c>
      <c r="B140" s="68"/>
      <c r="C140" s="14">
        <v>2008000</v>
      </c>
      <c r="D140" s="15">
        <v>0</v>
      </c>
      <c r="E140" s="27">
        <v>502124</v>
      </c>
      <c r="F140" s="27">
        <v>468876</v>
      </c>
      <c r="G140" s="27">
        <v>468876</v>
      </c>
      <c r="H140" s="27"/>
      <c r="I140" s="16">
        <f t="shared" si="15"/>
        <v>1439876</v>
      </c>
      <c r="J140" s="17">
        <f t="shared" si="16"/>
        <v>0.71706972111553779</v>
      </c>
      <c r="K140" s="73"/>
      <c r="L140" s="72"/>
      <c r="M140" s="1"/>
      <c r="N140" s="1"/>
      <c r="O140" s="1"/>
      <c r="P140" s="1"/>
      <c r="Q140" s="1"/>
      <c r="R140" s="1"/>
      <c r="S140" s="1"/>
      <c r="T140" s="1"/>
      <c r="U140" s="1"/>
      <c r="V140" s="1"/>
      <c r="W140" s="1"/>
      <c r="X140" s="1"/>
      <c r="Y140" s="1"/>
      <c r="Z140" s="1"/>
    </row>
    <row r="141" spans="1:26" ht="26.25" customHeight="1">
      <c r="A141" s="70" t="s">
        <v>145</v>
      </c>
      <c r="B141" s="68"/>
      <c r="C141" s="24">
        <f>830221+200000</f>
        <v>1030221</v>
      </c>
      <c r="D141" s="15">
        <v>0</v>
      </c>
      <c r="E141" s="27">
        <v>266479</v>
      </c>
      <c r="F141" s="27">
        <v>111278</v>
      </c>
      <c r="G141" s="27">
        <v>244558</v>
      </c>
      <c r="H141" s="27"/>
      <c r="I141" s="16">
        <f t="shared" si="15"/>
        <v>622315</v>
      </c>
      <c r="J141" s="17">
        <f t="shared" si="16"/>
        <v>0.60405971145996828</v>
      </c>
      <c r="K141" s="73" t="s">
        <v>204</v>
      </c>
      <c r="L141" s="72"/>
      <c r="M141" s="1"/>
      <c r="N141" s="1"/>
      <c r="O141" s="1"/>
      <c r="P141" s="1"/>
      <c r="Q141" s="1"/>
      <c r="R141" s="1"/>
      <c r="S141" s="1"/>
      <c r="T141" s="1"/>
      <c r="U141" s="1"/>
      <c r="V141" s="1"/>
      <c r="W141" s="1"/>
      <c r="X141" s="1"/>
      <c r="Y141" s="1"/>
      <c r="Z141" s="1"/>
    </row>
    <row r="142" spans="1:26" ht="48" customHeight="1">
      <c r="A142" s="70" t="s">
        <v>146</v>
      </c>
      <c r="B142" s="68"/>
      <c r="C142" s="14">
        <v>600000</v>
      </c>
      <c r="D142" s="15">
        <v>0</v>
      </c>
      <c r="E142" s="27">
        <v>40000</v>
      </c>
      <c r="F142" s="27">
        <v>139608</v>
      </c>
      <c r="G142" s="27">
        <v>149858</v>
      </c>
      <c r="H142" s="27"/>
      <c r="I142" s="16">
        <f t="shared" si="15"/>
        <v>329466</v>
      </c>
      <c r="J142" s="17">
        <f t="shared" si="16"/>
        <v>0.54910999999999999</v>
      </c>
      <c r="K142" s="73" t="s">
        <v>216</v>
      </c>
      <c r="L142" s="72"/>
      <c r="M142" s="1"/>
      <c r="N142" s="1"/>
      <c r="O142" s="1"/>
      <c r="P142" s="1"/>
      <c r="Q142" s="1"/>
      <c r="R142" s="1"/>
      <c r="S142" s="1"/>
      <c r="T142" s="1"/>
      <c r="U142" s="1"/>
      <c r="V142" s="1"/>
      <c r="W142" s="1"/>
      <c r="X142" s="1"/>
      <c r="Y142" s="1"/>
      <c r="Z142" s="1"/>
    </row>
    <row r="143" spans="1:26" ht="27.75" customHeight="1">
      <c r="A143" s="70" t="s">
        <v>147</v>
      </c>
      <c r="B143" s="68"/>
      <c r="C143" s="24">
        <f>885126+400000</f>
        <v>1285126</v>
      </c>
      <c r="D143" s="15">
        <v>0</v>
      </c>
      <c r="E143" s="27">
        <v>289583</v>
      </c>
      <c r="F143" s="27">
        <v>255575</v>
      </c>
      <c r="G143" s="27">
        <v>224538</v>
      </c>
      <c r="H143" s="27"/>
      <c r="I143" s="16">
        <f t="shared" si="15"/>
        <v>769696</v>
      </c>
      <c r="J143" s="17">
        <f t="shared" si="16"/>
        <v>0.59892648658575109</v>
      </c>
      <c r="K143" s="82"/>
      <c r="L143" s="72"/>
      <c r="M143" s="1"/>
      <c r="N143" s="1"/>
      <c r="O143" s="1"/>
      <c r="P143" s="1"/>
      <c r="Q143" s="1"/>
      <c r="R143" s="1"/>
      <c r="S143" s="1"/>
      <c r="T143" s="1"/>
      <c r="U143" s="1"/>
      <c r="V143" s="1"/>
      <c r="W143" s="1"/>
      <c r="X143" s="1"/>
      <c r="Y143" s="1"/>
      <c r="Z143" s="1"/>
    </row>
    <row r="144" spans="1:26" ht="35.25" customHeight="1">
      <c r="A144" s="70" t="s">
        <v>148</v>
      </c>
      <c r="B144" s="68"/>
      <c r="C144" s="24">
        <f>2100000+50000</f>
        <v>2150000</v>
      </c>
      <c r="D144" s="15">
        <v>0</v>
      </c>
      <c r="E144" s="27">
        <v>0</v>
      </c>
      <c r="F144" s="27">
        <v>0</v>
      </c>
      <c r="G144" s="27">
        <v>736984</v>
      </c>
      <c r="H144" s="27"/>
      <c r="I144" s="16">
        <f t="shared" si="15"/>
        <v>736984</v>
      </c>
      <c r="J144" s="17">
        <f t="shared" si="16"/>
        <v>0.34278325581395347</v>
      </c>
      <c r="K144" s="82" t="s">
        <v>230</v>
      </c>
      <c r="L144" s="72"/>
      <c r="M144" s="1"/>
      <c r="N144" s="1"/>
      <c r="O144" s="1"/>
      <c r="P144" s="1"/>
      <c r="Q144" s="1"/>
      <c r="R144" s="1"/>
      <c r="S144" s="1"/>
      <c r="T144" s="1"/>
      <c r="U144" s="1"/>
      <c r="V144" s="1"/>
      <c r="W144" s="1"/>
      <c r="X144" s="1"/>
      <c r="Y144" s="1"/>
      <c r="Z144" s="1"/>
    </row>
    <row r="145" spans="1:26" ht="38.25" customHeight="1">
      <c r="A145" s="70" t="s">
        <v>149</v>
      </c>
      <c r="B145" s="68"/>
      <c r="C145" s="14">
        <v>950000</v>
      </c>
      <c r="D145" s="15">
        <v>0</v>
      </c>
      <c r="E145" s="27">
        <v>0</v>
      </c>
      <c r="F145" s="27">
        <v>0</v>
      </c>
      <c r="G145" s="27">
        <v>0</v>
      </c>
      <c r="H145" s="27"/>
      <c r="I145" s="16">
        <f t="shared" si="15"/>
        <v>0</v>
      </c>
      <c r="J145" s="17">
        <f t="shared" si="16"/>
        <v>0</v>
      </c>
      <c r="K145" s="82" t="s">
        <v>227</v>
      </c>
      <c r="L145" s="72"/>
      <c r="M145" s="1"/>
      <c r="N145" s="1"/>
      <c r="O145" s="1"/>
      <c r="P145" s="1"/>
      <c r="Q145" s="1"/>
      <c r="R145" s="1"/>
      <c r="S145" s="1"/>
      <c r="T145" s="1"/>
      <c r="U145" s="1"/>
      <c r="V145" s="1"/>
      <c r="W145" s="1"/>
      <c r="X145" s="1"/>
      <c r="Y145" s="1"/>
      <c r="Z145" s="1"/>
    </row>
    <row r="146" spans="1:26" ht="36" customHeight="1">
      <c r="A146" s="70" t="s">
        <v>150</v>
      </c>
      <c r="B146" s="68"/>
      <c r="C146" s="24">
        <f>2000000+6510000</f>
        <v>8510000</v>
      </c>
      <c r="D146" s="15">
        <v>0</v>
      </c>
      <c r="E146" s="27">
        <v>0</v>
      </c>
      <c r="F146" s="27">
        <v>0</v>
      </c>
      <c r="G146" s="27">
        <v>3220000</v>
      </c>
      <c r="H146" s="27"/>
      <c r="I146" s="16">
        <f t="shared" si="15"/>
        <v>3220000</v>
      </c>
      <c r="J146" s="17">
        <f t="shared" si="16"/>
        <v>0.3783783783783784</v>
      </c>
      <c r="K146" s="82" t="s">
        <v>243</v>
      </c>
      <c r="L146" s="72"/>
      <c r="M146" s="1"/>
      <c r="N146" s="1"/>
      <c r="O146" s="1"/>
      <c r="P146" s="1"/>
      <c r="Q146" s="1"/>
      <c r="R146" s="1"/>
      <c r="S146" s="1"/>
      <c r="T146" s="1"/>
      <c r="U146" s="1"/>
      <c r="V146" s="1"/>
      <c r="W146" s="1"/>
      <c r="X146" s="1"/>
      <c r="Y146" s="1"/>
      <c r="Z146" s="1"/>
    </row>
    <row r="147" spans="1:26" ht="41.25" customHeight="1">
      <c r="A147" s="70" t="s">
        <v>151</v>
      </c>
      <c r="B147" s="68"/>
      <c r="C147" s="14">
        <v>1000000</v>
      </c>
      <c r="D147" s="15">
        <v>0</v>
      </c>
      <c r="E147" s="27">
        <v>0</v>
      </c>
      <c r="F147" s="27">
        <v>0</v>
      </c>
      <c r="G147" s="27">
        <v>0</v>
      </c>
      <c r="H147" s="27"/>
      <c r="I147" s="16">
        <f t="shared" si="15"/>
        <v>0</v>
      </c>
      <c r="J147" s="17">
        <f t="shared" si="16"/>
        <v>0</v>
      </c>
      <c r="K147" s="82" t="s">
        <v>276</v>
      </c>
      <c r="L147" s="72"/>
      <c r="M147" s="1"/>
      <c r="N147" s="1"/>
      <c r="O147" s="1"/>
      <c r="P147" s="1"/>
      <c r="Q147" s="1"/>
      <c r="R147" s="1"/>
      <c r="S147" s="1"/>
      <c r="T147" s="1"/>
      <c r="U147" s="1"/>
      <c r="V147" s="1"/>
      <c r="W147" s="1"/>
      <c r="X147" s="1"/>
      <c r="Y147" s="1"/>
      <c r="Z147" s="1"/>
    </row>
    <row r="148" spans="1:26" ht="34.5" customHeight="1">
      <c r="A148" s="70" t="s">
        <v>152</v>
      </c>
      <c r="B148" s="68"/>
      <c r="C148" s="18">
        <f>1024993-850000</f>
        <v>174993</v>
      </c>
      <c r="D148" s="15">
        <v>0</v>
      </c>
      <c r="E148" s="27">
        <v>21688</v>
      </c>
      <c r="F148" s="27">
        <v>21263</v>
      </c>
      <c r="G148" s="27">
        <v>45278</v>
      </c>
      <c r="H148" s="27"/>
      <c r="I148" s="16">
        <f t="shared" si="15"/>
        <v>88229</v>
      </c>
      <c r="J148" s="17">
        <f t="shared" si="16"/>
        <v>0.50418588172098311</v>
      </c>
      <c r="K148" s="82" t="s">
        <v>228</v>
      </c>
      <c r="L148" s="72"/>
      <c r="M148" s="1"/>
      <c r="N148" s="1"/>
      <c r="O148" s="1"/>
      <c r="P148" s="1"/>
      <c r="Q148" s="1"/>
      <c r="R148" s="1"/>
      <c r="S148" s="1"/>
      <c r="T148" s="1"/>
      <c r="U148" s="1"/>
      <c r="V148" s="1"/>
      <c r="W148" s="1"/>
      <c r="X148" s="1"/>
      <c r="Y148" s="1"/>
      <c r="Z148" s="1"/>
    </row>
    <row r="149" spans="1:26" ht="27.75" customHeight="1">
      <c r="A149" s="70" t="s">
        <v>153</v>
      </c>
      <c r="B149" s="68"/>
      <c r="C149" s="14">
        <v>789116</v>
      </c>
      <c r="D149" s="15">
        <v>0</v>
      </c>
      <c r="E149" s="27">
        <v>247947</v>
      </c>
      <c r="F149" s="27">
        <v>174867</v>
      </c>
      <c r="G149" s="27">
        <v>174867</v>
      </c>
      <c r="H149" s="27"/>
      <c r="I149" s="16">
        <f t="shared" si="15"/>
        <v>597681</v>
      </c>
      <c r="J149" s="17">
        <f t="shared" si="16"/>
        <v>0.75740575530086829</v>
      </c>
      <c r="K149" s="82"/>
      <c r="L149" s="72"/>
      <c r="M149" s="1"/>
      <c r="N149" s="1"/>
      <c r="O149" s="1"/>
      <c r="P149" s="1"/>
      <c r="Q149" s="1"/>
      <c r="R149" s="1"/>
      <c r="S149" s="1"/>
      <c r="T149" s="1"/>
      <c r="U149" s="1"/>
      <c r="V149" s="1"/>
      <c r="W149" s="1"/>
      <c r="X149" s="1"/>
      <c r="Y149" s="1"/>
      <c r="Z149" s="1"/>
    </row>
    <row r="150" spans="1:26" ht="30" customHeight="1">
      <c r="A150" s="70" t="s">
        <v>154</v>
      </c>
      <c r="B150" s="68"/>
      <c r="C150" s="14">
        <v>1872496</v>
      </c>
      <c r="D150" s="15">
        <v>0</v>
      </c>
      <c r="E150" s="27">
        <v>690000</v>
      </c>
      <c r="F150" s="27">
        <v>0</v>
      </c>
      <c r="G150" s="27">
        <v>690000</v>
      </c>
      <c r="H150" s="27"/>
      <c r="I150" s="16">
        <f t="shared" si="15"/>
        <v>1380000</v>
      </c>
      <c r="J150" s="17">
        <f t="shared" si="16"/>
        <v>0.73698421785680712</v>
      </c>
      <c r="K150" s="73" t="s">
        <v>205</v>
      </c>
      <c r="L150" s="72"/>
      <c r="M150" s="1"/>
      <c r="N150" s="1"/>
      <c r="O150" s="1"/>
      <c r="P150" s="1"/>
      <c r="Q150" s="1"/>
      <c r="R150" s="1"/>
      <c r="S150" s="1"/>
      <c r="T150" s="1"/>
      <c r="U150" s="1"/>
      <c r="V150" s="1"/>
      <c r="W150" s="1"/>
      <c r="X150" s="1"/>
      <c r="Y150" s="1"/>
      <c r="Z150" s="1"/>
    </row>
    <row r="151" spans="1:26" ht="36" customHeight="1">
      <c r="A151" s="70" t="s">
        <v>155</v>
      </c>
      <c r="B151" s="68"/>
      <c r="C151" s="14">
        <v>90000</v>
      </c>
      <c r="D151" s="15">
        <v>0</v>
      </c>
      <c r="E151" s="27">
        <v>40000</v>
      </c>
      <c r="F151" s="27">
        <v>16000</v>
      </c>
      <c r="G151" s="27">
        <v>12000</v>
      </c>
      <c r="H151" s="27"/>
      <c r="I151" s="16">
        <f t="shared" si="15"/>
        <v>68000</v>
      </c>
      <c r="J151" s="17">
        <f t="shared" si="16"/>
        <v>0.75555555555555554</v>
      </c>
      <c r="K151" s="73"/>
      <c r="L151" s="72"/>
      <c r="M151" s="1"/>
      <c r="N151" s="1"/>
      <c r="O151" s="1"/>
      <c r="P151" s="1"/>
      <c r="Q151" s="1"/>
      <c r="R151" s="1"/>
      <c r="S151" s="1"/>
      <c r="T151" s="1"/>
      <c r="U151" s="1"/>
      <c r="V151" s="1"/>
      <c r="W151" s="1"/>
      <c r="X151" s="1"/>
      <c r="Y151" s="1"/>
      <c r="Z151" s="1"/>
    </row>
    <row r="152" spans="1:26" ht="31.5" customHeight="1">
      <c r="A152" s="70" t="s">
        <v>156</v>
      </c>
      <c r="B152" s="68"/>
      <c r="C152" s="24">
        <v>160000</v>
      </c>
      <c r="D152" s="15">
        <v>0</v>
      </c>
      <c r="E152" s="27">
        <v>0</v>
      </c>
      <c r="F152" s="27">
        <v>3800</v>
      </c>
      <c r="G152" s="27">
        <v>7600</v>
      </c>
      <c r="H152" s="27"/>
      <c r="I152" s="16">
        <f t="shared" si="15"/>
        <v>11400</v>
      </c>
      <c r="J152" s="17">
        <f t="shared" si="16"/>
        <v>7.1249999999999994E-2</v>
      </c>
      <c r="K152" s="73" t="s">
        <v>208</v>
      </c>
      <c r="L152" s="72"/>
      <c r="M152" s="1"/>
      <c r="N152" s="1"/>
      <c r="O152" s="1"/>
      <c r="P152" s="1"/>
      <c r="Q152" s="1"/>
      <c r="R152" s="1"/>
      <c r="S152" s="1"/>
      <c r="T152" s="1"/>
      <c r="U152" s="1"/>
      <c r="V152" s="1"/>
      <c r="W152" s="1"/>
      <c r="X152" s="1"/>
      <c r="Y152" s="1"/>
      <c r="Z152" s="1"/>
    </row>
    <row r="153" spans="1:26" ht="29.25" customHeight="1">
      <c r="A153" s="70" t="s">
        <v>157</v>
      </c>
      <c r="B153" s="68"/>
      <c r="C153" s="27">
        <f>4241244+1259384-1631432</f>
        <v>3869196</v>
      </c>
      <c r="D153" s="15">
        <v>0</v>
      </c>
      <c r="E153" s="27">
        <v>1086627</v>
      </c>
      <c r="F153" s="27">
        <v>651061</v>
      </c>
      <c r="G153" s="27">
        <v>342505</v>
      </c>
      <c r="H153" s="27"/>
      <c r="I153" s="16">
        <f t="shared" si="15"/>
        <v>2080193</v>
      </c>
      <c r="J153" s="17">
        <f t="shared" si="16"/>
        <v>0.53762926458106541</v>
      </c>
      <c r="K153" s="73" t="s">
        <v>269</v>
      </c>
      <c r="L153" s="72"/>
      <c r="M153" s="1"/>
      <c r="N153" s="1"/>
      <c r="O153" s="1"/>
      <c r="P153" s="1"/>
      <c r="Q153" s="1"/>
      <c r="R153" s="1"/>
      <c r="S153" s="1"/>
      <c r="T153" s="1"/>
      <c r="U153" s="1"/>
      <c r="V153" s="1"/>
      <c r="W153" s="1"/>
      <c r="X153" s="1"/>
      <c r="Y153" s="1"/>
      <c r="Z153" s="1"/>
    </row>
    <row r="154" spans="1:26" ht="26.25" customHeight="1">
      <c r="A154" s="70" t="s">
        <v>158</v>
      </c>
      <c r="B154" s="68"/>
      <c r="C154" s="14">
        <v>100000</v>
      </c>
      <c r="D154" s="15">
        <v>0</v>
      </c>
      <c r="E154" s="27">
        <v>0</v>
      </c>
      <c r="F154" s="27">
        <v>36000</v>
      </c>
      <c r="G154" s="27">
        <v>17750</v>
      </c>
      <c r="H154" s="27"/>
      <c r="I154" s="16">
        <f t="shared" si="15"/>
        <v>53750</v>
      </c>
      <c r="J154" s="17">
        <f t="shared" si="16"/>
        <v>0.53749999999999998</v>
      </c>
      <c r="K154" s="73" t="s">
        <v>205</v>
      </c>
      <c r="L154" s="72"/>
      <c r="M154" s="1"/>
      <c r="N154" s="1"/>
      <c r="O154" s="1"/>
      <c r="P154" s="1"/>
      <c r="Q154" s="1"/>
      <c r="R154" s="1"/>
      <c r="S154" s="1"/>
      <c r="T154" s="1"/>
      <c r="U154" s="1"/>
      <c r="V154" s="1"/>
      <c r="W154" s="1"/>
      <c r="X154" s="1"/>
      <c r="Y154" s="1"/>
      <c r="Z154" s="1"/>
    </row>
    <row r="155" spans="1:26" ht="34.5" customHeight="1">
      <c r="A155" s="81" t="s">
        <v>159</v>
      </c>
      <c r="B155" s="68"/>
      <c r="C155" s="27">
        <v>100000</v>
      </c>
      <c r="D155" s="15">
        <v>0</v>
      </c>
      <c r="E155" s="27">
        <v>0</v>
      </c>
      <c r="F155" s="27">
        <v>0</v>
      </c>
      <c r="G155" s="27">
        <v>99900</v>
      </c>
      <c r="H155" s="27"/>
      <c r="I155" s="16">
        <f t="shared" si="15"/>
        <v>99900</v>
      </c>
      <c r="J155" s="17">
        <f t="shared" si="16"/>
        <v>0.999</v>
      </c>
      <c r="K155" s="73" t="s">
        <v>275</v>
      </c>
      <c r="L155" s="72"/>
      <c r="M155" s="1"/>
      <c r="N155" s="1"/>
      <c r="O155" s="1"/>
      <c r="P155" s="1"/>
      <c r="Q155" s="1"/>
      <c r="R155" s="1"/>
      <c r="S155" s="1"/>
      <c r="T155" s="1"/>
      <c r="U155" s="1"/>
      <c r="V155" s="1"/>
      <c r="W155" s="1"/>
      <c r="X155" s="1"/>
      <c r="Y155" s="1"/>
      <c r="Z155" s="1"/>
    </row>
    <row r="156" spans="1:26" s="50" customFormat="1" ht="45.75" customHeight="1">
      <c r="A156" s="85" t="s">
        <v>245</v>
      </c>
      <c r="B156" s="86"/>
      <c r="C156" s="27">
        <v>349542</v>
      </c>
      <c r="D156" s="15">
        <v>0</v>
      </c>
      <c r="E156" s="27">
        <v>0</v>
      </c>
      <c r="F156" s="27">
        <v>0</v>
      </c>
      <c r="G156" s="27">
        <v>58257</v>
      </c>
      <c r="H156" s="27"/>
      <c r="I156" s="16">
        <f t="shared" si="15"/>
        <v>58257</v>
      </c>
      <c r="J156" s="17">
        <f>IFERROR((I156/(C156+D156)),0)</f>
        <v>0.16666666666666666</v>
      </c>
      <c r="K156" s="73" t="s">
        <v>270</v>
      </c>
      <c r="L156" s="87"/>
      <c r="M156" s="1"/>
      <c r="N156" s="1"/>
      <c r="O156" s="1"/>
      <c r="P156" s="1"/>
      <c r="Q156" s="1"/>
      <c r="R156" s="1"/>
      <c r="S156" s="1"/>
      <c r="T156" s="1"/>
      <c r="U156" s="1"/>
      <c r="V156" s="1"/>
      <c r="W156" s="1"/>
      <c r="X156" s="1"/>
      <c r="Y156" s="1"/>
      <c r="Z156" s="1"/>
    </row>
    <row r="157" spans="1:26" ht="18.75" customHeight="1">
      <c r="A157" s="83" t="s">
        <v>64</v>
      </c>
      <c r="B157" s="68"/>
      <c r="C157" s="22">
        <f>SUM(C135:C156)</f>
        <v>28804690</v>
      </c>
      <c r="D157" s="22">
        <f>SUM(D135:D156)</f>
        <v>0</v>
      </c>
      <c r="E157" s="22">
        <f>SUM(E135:E156)</f>
        <v>3223421</v>
      </c>
      <c r="F157" s="22">
        <f>SUM(F135:F156)</f>
        <v>1998908</v>
      </c>
      <c r="G157" s="22">
        <f>SUM(G135:G156)</f>
        <v>6507132</v>
      </c>
      <c r="H157" s="22">
        <f t="shared" ref="H157" si="17">SUM(H135:H155)</f>
        <v>0</v>
      </c>
      <c r="I157" s="22">
        <f>SUM(I135:I156)</f>
        <v>11729461</v>
      </c>
      <c r="J157" s="23">
        <f>IFERROR((I157/(C157+D157)),0)</f>
        <v>0.40720663891887049</v>
      </c>
      <c r="K157" s="84"/>
      <c r="L157" s="68"/>
      <c r="M157" s="1"/>
      <c r="N157" s="1"/>
      <c r="O157" s="1"/>
      <c r="P157" s="1"/>
      <c r="Q157" s="1"/>
      <c r="R157" s="1"/>
      <c r="S157" s="1"/>
      <c r="T157" s="1"/>
      <c r="U157" s="1"/>
      <c r="V157" s="1"/>
      <c r="W157" s="1"/>
      <c r="X157" s="1"/>
      <c r="Y157" s="1"/>
      <c r="Z157" s="1"/>
    </row>
    <row r="158" spans="1:26" ht="21.75" customHeight="1">
      <c r="A158" s="67" t="s">
        <v>160</v>
      </c>
      <c r="B158" s="68"/>
      <c r="C158" s="12"/>
      <c r="D158" s="13"/>
      <c r="E158" s="13"/>
      <c r="F158" s="13"/>
      <c r="G158" s="13"/>
      <c r="H158" s="13"/>
      <c r="I158" s="13"/>
      <c r="J158" s="13"/>
      <c r="K158" s="69"/>
      <c r="L158" s="68"/>
      <c r="M158" s="1"/>
      <c r="N158" s="1"/>
      <c r="O158" s="1"/>
      <c r="P158" s="1"/>
      <c r="Q158" s="1"/>
      <c r="R158" s="1"/>
      <c r="S158" s="1"/>
      <c r="T158" s="1"/>
      <c r="U158" s="1"/>
      <c r="V158" s="1"/>
      <c r="W158" s="1"/>
      <c r="X158" s="1"/>
      <c r="Y158" s="1"/>
      <c r="Z158" s="1"/>
    </row>
    <row r="159" spans="1:26" ht="27" customHeight="1">
      <c r="A159" s="70" t="s">
        <v>161</v>
      </c>
      <c r="B159" s="68"/>
      <c r="C159" s="14">
        <v>10224000</v>
      </c>
      <c r="D159" s="15">
        <v>0</v>
      </c>
      <c r="E159" s="27">
        <v>0</v>
      </c>
      <c r="F159" s="27">
        <v>3000000</v>
      </c>
      <c r="G159" s="27">
        <v>0</v>
      </c>
      <c r="H159" s="27"/>
      <c r="I159" s="16">
        <f t="shared" ref="I159:I164" si="18">SUM(E159:H159)</f>
        <v>3000000</v>
      </c>
      <c r="J159" s="17">
        <f t="shared" ref="J159:J165" si="19">IFERROR((I159/(C159+D159)),0)</f>
        <v>0.29342723004694837</v>
      </c>
      <c r="K159" s="73" t="s">
        <v>215</v>
      </c>
      <c r="L159" s="72"/>
      <c r="M159" s="1"/>
      <c r="N159" s="1"/>
      <c r="O159" s="1"/>
      <c r="P159" s="1"/>
      <c r="Q159" s="1"/>
      <c r="R159" s="1"/>
      <c r="S159" s="1"/>
      <c r="T159" s="1"/>
      <c r="U159" s="1"/>
      <c r="V159" s="1"/>
      <c r="W159" s="1"/>
      <c r="X159" s="1"/>
      <c r="Y159" s="1"/>
      <c r="Z159" s="1"/>
    </row>
    <row r="160" spans="1:26" ht="31.5" customHeight="1">
      <c r="A160" s="70" t="s">
        <v>162</v>
      </c>
      <c r="B160" s="68"/>
      <c r="C160" s="27">
        <v>4700000</v>
      </c>
      <c r="D160" s="15">
        <v>0</v>
      </c>
      <c r="E160" s="27">
        <v>58020</v>
      </c>
      <c r="F160" s="27">
        <v>1851000</v>
      </c>
      <c r="G160" s="27">
        <v>1734995</v>
      </c>
      <c r="H160" s="27"/>
      <c r="I160" s="16">
        <f t="shared" si="18"/>
        <v>3644015</v>
      </c>
      <c r="J160" s="17">
        <f t="shared" si="19"/>
        <v>0.77532234042553194</v>
      </c>
      <c r="K160" s="73" t="s">
        <v>205</v>
      </c>
      <c r="L160" s="72"/>
      <c r="M160" s="1"/>
      <c r="N160" s="1"/>
      <c r="O160" s="1"/>
      <c r="P160" s="1"/>
      <c r="Q160" s="1"/>
      <c r="R160" s="1"/>
      <c r="S160" s="1"/>
      <c r="T160" s="1"/>
      <c r="U160" s="1"/>
      <c r="V160" s="1"/>
      <c r="W160" s="1"/>
      <c r="X160" s="1"/>
      <c r="Y160" s="1"/>
      <c r="Z160" s="1"/>
    </row>
    <row r="161" spans="1:26" ht="20.25" customHeight="1">
      <c r="A161" s="70" t="s">
        <v>163</v>
      </c>
      <c r="B161" s="68"/>
      <c r="C161" s="27">
        <v>350000</v>
      </c>
      <c r="D161" s="15">
        <v>0</v>
      </c>
      <c r="E161" s="27">
        <v>0</v>
      </c>
      <c r="F161" s="27">
        <v>0</v>
      </c>
      <c r="G161" s="27">
        <v>19100</v>
      </c>
      <c r="H161" s="27"/>
      <c r="I161" s="16">
        <f t="shared" si="18"/>
        <v>19100</v>
      </c>
      <c r="J161" s="17">
        <f t="shared" si="19"/>
        <v>5.4571428571428569E-2</v>
      </c>
      <c r="K161" s="73" t="s">
        <v>217</v>
      </c>
      <c r="L161" s="72"/>
      <c r="M161" s="1"/>
      <c r="N161" s="1"/>
      <c r="O161" s="1"/>
      <c r="P161" s="1"/>
      <c r="Q161" s="1"/>
      <c r="R161" s="1"/>
      <c r="S161" s="1"/>
      <c r="T161" s="1"/>
      <c r="U161" s="1"/>
      <c r="V161" s="1"/>
      <c r="W161" s="1"/>
      <c r="X161" s="1"/>
      <c r="Y161" s="1"/>
      <c r="Z161" s="1"/>
    </row>
    <row r="162" spans="1:26" ht="18.75" customHeight="1">
      <c r="A162" s="70" t="s">
        <v>164</v>
      </c>
      <c r="B162" s="68"/>
      <c r="C162" s="27">
        <v>50000</v>
      </c>
      <c r="D162" s="15">
        <v>0</v>
      </c>
      <c r="E162" s="27">
        <v>0</v>
      </c>
      <c r="F162" s="27">
        <v>0</v>
      </c>
      <c r="G162" s="27">
        <v>0</v>
      </c>
      <c r="H162" s="27"/>
      <c r="I162" s="16">
        <f t="shared" si="18"/>
        <v>0</v>
      </c>
      <c r="J162" s="17">
        <f t="shared" si="19"/>
        <v>0</v>
      </c>
      <c r="K162" s="73" t="s">
        <v>218</v>
      </c>
      <c r="L162" s="72"/>
      <c r="M162" s="1"/>
      <c r="N162" s="1"/>
      <c r="O162" s="1"/>
      <c r="P162" s="1"/>
      <c r="Q162" s="1"/>
      <c r="R162" s="1"/>
      <c r="S162" s="1"/>
      <c r="T162" s="1"/>
      <c r="U162" s="1"/>
      <c r="V162" s="1"/>
      <c r="W162" s="1"/>
      <c r="X162" s="1"/>
      <c r="Y162" s="1"/>
      <c r="Z162" s="1"/>
    </row>
    <row r="163" spans="1:26" ht="32.25" customHeight="1">
      <c r="A163" s="70" t="s">
        <v>165</v>
      </c>
      <c r="B163" s="68"/>
      <c r="C163" s="24">
        <f>50000+9000</f>
        <v>59000</v>
      </c>
      <c r="D163" s="15">
        <v>0</v>
      </c>
      <c r="E163" s="27">
        <v>0</v>
      </c>
      <c r="F163" s="27">
        <v>6250</v>
      </c>
      <c r="G163" s="27">
        <v>0</v>
      </c>
      <c r="H163" s="27"/>
      <c r="I163" s="16">
        <f t="shared" si="18"/>
        <v>6250</v>
      </c>
      <c r="J163" s="17">
        <f t="shared" si="19"/>
        <v>0.1059322033898305</v>
      </c>
      <c r="K163" s="73" t="s">
        <v>205</v>
      </c>
      <c r="L163" s="72"/>
      <c r="M163" s="1"/>
      <c r="N163" s="1"/>
      <c r="O163" s="1"/>
      <c r="P163" s="1"/>
      <c r="Q163" s="1"/>
      <c r="R163" s="1"/>
      <c r="S163" s="1"/>
      <c r="T163" s="1"/>
      <c r="U163" s="1"/>
      <c r="V163" s="1"/>
      <c r="W163" s="1"/>
      <c r="X163" s="1"/>
      <c r="Y163" s="1"/>
      <c r="Z163" s="1"/>
    </row>
    <row r="164" spans="1:26" ht="21" customHeight="1">
      <c r="A164" s="70" t="s">
        <v>166</v>
      </c>
      <c r="B164" s="68"/>
      <c r="C164" s="27">
        <v>461839</v>
      </c>
      <c r="D164" s="15">
        <v>0</v>
      </c>
      <c r="E164" s="27">
        <v>16823</v>
      </c>
      <c r="F164" s="27">
        <v>33998</v>
      </c>
      <c r="G164" s="27">
        <v>0</v>
      </c>
      <c r="H164" s="27"/>
      <c r="I164" s="16">
        <f t="shared" si="18"/>
        <v>50821</v>
      </c>
      <c r="J164" s="17">
        <f t="shared" si="19"/>
        <v>0.11004051195329974</v>
      </c>
      <c r="K164" s="73" t="s">
        <v>205</v>
      </c>
      <c r="L164" s="72"/>
      <c r="M164" s="1"/>
      <c r="N164" s="1"/>
      <c r="O164" s="1"/>
      <c r="P164" s="1"/>
      <c r="Q164" s="1"/>
      <c r="R164" s="1"/>
      <c r="S164" s="1"/>
      <c r="T164" s="1"/>
      <c r="U164" s="1"/>
      <c r="V164" s="1"/>
      <c r="W164" s="1"/>
      <c r="X164" s="1"/>
      <c r="Y164" s="1"/>
      <c r="Z164" s="1"/>
    </row>
    <row r="165" spans="1:26" ht="18.75" customHeight="1">
      <c r="A165" s="83" t="s">
        <v>64</v>
      </c>
      <c r="B165" s="68"/>
      <c r="C165" s="22">
        <f t="shared" ref="C165:I165" si="20">SUM(C159:C164)</f>
        <v>15844839</v>
      </c>
      <c r="D165" s="22">
        <f t="shared" si="20"/>
        <v>0</v>
      </c>
      <c r="E165" s="22">
        <f t="shared" si="20"/>
        <v>74843</v>
      </c>
      <c r="F165" s="22">
        <f t="shared" si="20"/>
        <v>4891248</v>
      </c>
      <c r="G165" s="22">
        <f t="shared" si="20"/>
        <v>1754095</v>
      </c>
      <c r="H165" s="22">
        <f t="shared" si="20"/>
        <v>0</v>
      </c>
      <c r="I165" s="22">
        <f t="shared" si="20"/>
        <v>6720186</v>
      </c>
      <c r="J165" s="23">
        <f t="shared" si="19"/>
        <v>0.42412459981448847</v>
      </c>
      <c r="K165" s="84"/>
      <c r="L165" s="68"/>
      <c r="M165" s="1"/>
      <c r="N165" s="1"/>
      <c r="O165" s="1"/>
      <c r="P165" s="1"/>
      <c r="Q165" s="1"/>
      <c r="R165" s="1"/>
      <c r="S165" s="1"/>
      <c r="T165" s="1"/>
      <c r="U165" s="1"/>
      <c r="V165" s="1"/>
      <c r="W165" s="1"/>
      <c r="X165" s="1"/>
      <c r="Y165" s="1"/>
      <c r="Z165" s="1"/>
    </row>
    <row r="166" spans="1:26" ht="21.75" customHeight="1">
      <c r="A166" s="67" t="s">
        <v>167</v>
      </c>
      <c r="B166" s="68"/>
      <c r="C166" s="12"/>
      <c r="D166" s="13"/>
      <c r="E166" s="13"/>
      <c r="F166" s="13"/>
      <c r="G166" s="13"/>
      <c r="H166" s="13"/>
      <c r="I166" s="13"/>
      <c r="J166" s="13"/>
      <c r="K166" s="69"/>
      <c r="L166" s="68"/>
      <c r="M166" s="1"/>
      <c r="N166" s="1"/>
      <c r="O166" s="1"/>
      <c r="P166" s="1"/>
      <c r="Q166" s="1"/>
      <c r="R166" s="1"/>
      <c r="S166" s="1"/>
      <c r="T166" s="1"/>
      <c r="U166" s="1"/>
      <c r="V166" s="1"/>
      <c r="W166" s="1"/>
      <c r="X166" s="1"/>
      <c r="Y166" s="1"/>
      <c r="Z166" s="1"/>
    </row>
    <row r="167" spans="1:26" ht="19.5" customHeight="1">
      <c r="A167" s="88" t="s">
        <v>168</v>
      </c>
      <c r="B167" s="68"/>
      <c r="C167" s="28">
        <f>(300000+243000)-(300000+243000)</f>
        <v>0</v>
      </c>
      <c r="D167" s="29">
        <f>0</f>
        <v>0</v>
      </c>
      <c r="E167" s="30">
        <f>(23500+48988+34948)-107436</f>
        <v>0</v>
      </c>
      <c r="F167" s="31">
        <f t="shared" ref="F167:H167" si="21">0</f>
        <v>0</v>
      </c>
      <c r="G167" s="31">
        <f t="shared" si="21"/>
        <v>0</v>
      </c>
      <c r="H167" s="31">
        <f t="shared" si="21"/>
        <v>0</v>
      </c>
      <c r="I167" s="16">
        <f>SUM(E167:H167)</f>
        <v>0</v>
      </c>
      <c r="J167" s="17">
        <f t="shared" ref="J167:J168" si="22">IFERROR((I167/(C167+D167)),0)</f>
        <v>0</v>
      </c>
      <c r="K167" s="89"/>
      <c r="L167" s="72"/>
      <c r="M167" s="1"/>
      <c r="N167" s="1"/>
      <c r="O167" s="1"/>
      <c r="P167" s="1"/>
      <c r="Q167" s="1"/>
      <c r="R167" s="1"/>
      <c r="S167" s="1"/>
      <c r="T167" s="1"/>
      <c r="U167" s="1"/>
      <c r="V167" s="1"/>
      <c r="W167" s="1"/>
      <c r="X167" s="1"/>
      <c r="Y167" s="1"/>
      <c r="Z167" s="1"/>
    </row>
    <row r="168" spans="1:26" ht="18.75" customHeight="1">
      <c r="A168" s="83" t="s">
        <v>64</v>
      </c>
      <c r="B168" s="68"/>
      <c r="C168" s="22">
        <f t="shared" ref="C168:I168" si="23">C167</f>
        <v>0</v>
      </c>
      <c r="D168" s="22">
        <f t="shared" si="23"/>
        <v>0</v>
      </c>
      <c r="E168" s="22">
        <f t="shared" si="23"/>
        <v>0</v>
      </c>
      <c r="F168" s="22">
        <f t="shared" si="23"/>
        <v>0</v>
      </c>
      <c r="G168" s="22">
        <f t="shared" si="23"/>
        <v>0</v>
      </c>
      <c r="H168" s="22">
        <f t="shared" si="23"/>
        <v>0</v>
      </c>
      <c r="I168" s="22">
        <f t="shared" si="23"/>
        <v>0</v>
      </c>
      <c r="J168" s="23">
        <f t="shared" si="22"/>
        <v>0</v>
      </c>
      <c r="K168" s="84"/>
      <c r="L168" s="68"/>
      <c r="M168" s="1"/>
      <c r="N168" s="1"/>
      <c r="O168" s="1"/>
      <c r="P168" s="1"/>
      <c r="Q168" s="1"/>
      <c r="R168" s="1"/>
      <c r="S168" s="1"/>
      <c r="T168" s="1"/>
      <c r="U168" s="1"/>
      <c r="V168" s="1"/>
      <c r="W168" s="1"/>
      <c r="X168" s="1"/>
      <c r="Y168" s="1"/>
      <c r="Z168" s="1"/>
    </row>
    <row r="169" spans="1:26" ht="18.75" customHeight="1">
      <c r="A169" s="67" t="s">
        <v>169</v>
      </c>
      <c r="B169" s="68"/>
      <c r="C169" s="12"/>
      <c r="D169" s="13"/>
      <c r="E169" s="13"/>
      <c r="F169" s="13"/>
      <c r="G169" s="13"/>
      <c r="H169" s="13"/>
      <c r="I169" s="13"/>
      <c r="J169" s="13"/>
      <c r="K169" s="69"/>
      <c r="L169" s="68"/>
      <c r="M169" s="1"/>
      <c r="N169" s="1"/>
      <c r="O169" s="1"/>
      <c r="P169" s="1"/>
      <c r="Q169" s="1"/>
      <c r="R169" s="1"/>
      <c r="S169" s="1"/>
      <c r="T169" s="1"/>
      <c r="U169" s="1"/>
      <c r="V169" s="1"/>
      <c r="W169" s="1"/>
      <c r="X169" s="1"/>
      <c r="Y169" s="1"/>
      <c r="Z169" s="1"/>
    </row>
    <row r="170" spans="1:26" ht="32.25" customHeight="1">
      <c r="A170" s="70" t="s">
        <v>170</v>
      </c>
      <c r="B170" s="68"/>
      <c r="C170" s="27">
        <v>1020000</v>
      </c>
      <c r="D170" s="15">
        <v>0</v>
      </c>
      <c r="E170" s="27">
        <v>15453</v>
      </c>
      <c r="F170" s="27">
        <v>154164</v>
      </c>
      <c r="G170" s="27">
        <v>392321</v>
      </c>
      <c r="H170" s="27"/>
      <c r="I170" s="16">
        <f>SUM(E170:H170)</f>
        <v>561938</v>
      </c>
      <c r="J170" s="17">
        <f t="shared" ref="J170:J171" si="24">IFERROR((I170/(C170+D170)),0)</f>
        <v>0.5509196078431372</v>
      </c>
      <c r="K170" s="73" t="s">
        <v>251</v>
      </c>
      <c r="L170" s="72"/>
      <c r="M170" s="1"/>
      <c r="N170" s="1"/>
      <c r="O170" s="1"/>
      <c r="P170" s="1"/>
      <c r="Q170" s="1"/>
      <c r="R170" s="1"/>
      <c r="S170" s="1"/>
      <c r="T170" s="1"/>
      <c r="U170" s="1"/>
      <c r="V170" s="1"/>
      <c r="W170" s="1"/>
      <c r="X170" s="1"/>
      <c r="Y170" s="1"/>
      <c r="Z170" s="1"/>
    </row>
    <row r="171" spans="1:26" ht="18.75" customHeight="1">
      <c r="A171" s="83" t="s">
        <v>64</v>
      </c>
      <c r="B171" s="68"/>
      <c r="C171" s="22">
        <f t="shared" ref="C171:I171" si="25">C170</f>
        <v>1020000</v>
      </c>
      <c r="D171" s="22">
        <f t="shared" si="25"/>
        <v>0</v>
      </c>
      <c r="E171" s="22">
        <f t="shared" si="25"/>
        <v>15453</v>
      </c>
      <c r="F171" s="22">
        <f t="shared" si="25"/>
        <v>154164</v>
      </c>
      <c r="G171" s="22">
        <f t="shared" si="25"/>
        <v>392321</v>
      </c>
      <c r="H171" s="22">
        <f t="shared" si="25"/>
        <v>0</v>
      </c>
      <c r="I171" s="22">
        <f t="shared" si="25"/>
        <v>561938</v>
      </c>
      <c r="J171" s="23">
        <f t="shared" si="24"/>
        <v>0.5509196078431372</v>
      </c>
      <c r="K171" s="84"/>
      <c r="L171" s="68"/>
      <c r="M171" s="1"/>
      <c r="N171" s="1"/>
      <c r="O171" s="1"/>
      <c r="P171" s="1"/>
      <c r="Q171" s="1"/>
      <c r="R171" s="1"/>
      <c r="S171" s="1"/>
      <c r="T171" s="1"/>
      <c r="U171" s="1"/>
      <c r="V171" s="1"/>
      <c r="W171" s="1"/>
      <c r="X171" s="1"/>
      <c r="Y171" s="1"/>
      <c r="Z171" s="1"/>
    </row>
    <row r="172" spans="1:26" ht="21.75" customHeight="1">
      <c r="A172" s="67" t="s">
        <v>171</v>
      </c>
      <c r="B172" s="68"/>
      <c r="C172" s="12"/>
      <c r="D172" s="13"/>
      <c r="E172" s="13"/>
      <c r="F172" s="13"/>
      <c r="G172" s="13"/>
      <c r="H172" s="13"/>
      <c r="I172" s="13"/>
      <c r="J172" s="13"/>
      <c r="K172" s="69"/>
      <c r="L172" s="68"/>
      <c r="M172" s="1"/>
      <c r="N172" s="1"/>
      <c r="O172" s="1"/>
      <c r="P172" s="1"/>
      <c r="Q172" s="1"/>
      <c r="R172" s="1"/>
      <c r="S172" s="1"/>
      <c r="T172" s="1"/>
      <c r="U172" s="1"/>
      <c r="V172" s="1"/>
      <c r="W172" s="1"/>
      <c r="X172" s="1"/>
      <c r="Y172" s="1"/>
      <c r="Z172" s="1"/>
    </row>
    <row r="173" spans="1:26" ht="27.75" customHeight="1">
      <c r="A173" s="70" t="s">
        <v>172</v>
      </c>
      <c r="B173" s="68"/>
      <c r="C173" s="27">
        <v>500000</v>
      </c>
      <c r="D173" s="15">
        <v>0</v>
      </c>
      <c r="E173" s="27">
        <v>68209</v>
      </c>
      <c r="F173" s="27">
        <v>0</v>
      </c>
      <c r="G173" s="27">
        <v>0</v>
      </c>
      <c r="H173" s="27"/>
      <c r="I173" s="16">
        <f>SUM(E173:H173)</f>
        <v>68209</v>
      </c>
      <c r="J173" s="17">
        <f t="shared" ref="J173:J175" si="26">IFERROR((I173/(C173+D173)),0)</f>
        <v>0.13641800000000001</v>
      </c>
      <c r="K173" s="73" t="s">
        <v>219</v>
      </c>
      <c r="L173" s="72"/>
      <c r="M173" s="1"/>
      <c r="N173" s="1"/>
      <c r="O173" s="1"/>
      <c r="P173" s="1"/>
      <c r="Q173" s="1"/>
      <c r="R173" s="1"/>
      <c r="S173" s="1"/>
      <c r="T173" s="1"/>
      <c r="U173" s="1"/>
      <c r="V173" s="1"/>
      <c r="W173" s="1"/>
      <c r="X173" s="1"/>
      <c r="Y173" s="1"/>
      <c r="Z173" s="1"/>
    </row>
    <row r="174" spans="1:26" ht="18.75" customHeight="1">
      <c r="A174" s="83" t="s">
        <v>64</v>
      </c>
      <c r="B174" s="68"/>
      <c r="C174" s="22">
        <f t="shared" ref="C174:I174" si="27">C173</f>
        <v>500000</v>
      </c>
      <c r="D174" s="22">
        <f t="shared" si="27"/>
        <v>0</v>
      </c>
      <c r="E174" s="22">
        <f t="shared" si="27"/>
        <v>68209</v>
      </c>
      <c r="F174" s="22">
        <f t="shared" si="27"/>
        <v>0</v>
      </c>
      <c r="G174" s="22">
        <f t="shared" si="27"/>
        <v>0</v>
      </c>
      <c r="H174" s="22">
        <f t="shared" si="27"/>
        <v>0</v>
      </c>
      <c r="I174" s="22">
        <f t="shared" si="27"/>
        <v>68209</v>
      </c>
      <c r="J174" s="23">
        <f t="shared" si="26"/>
        <v>0.13641800000000001</v>
      </c>
      <c r="K174" s="84"/>
      <c r="L174" s="68"/>
      <c r="M174" s="1"/>
      <c r="N174" s="1"/>
      <c r="O174" s="1"/>
      <c r="P174" s="1"/>
      <c r="Q174" s="1"/>
      <c r="R174" s="1"/>
      <c r="S174" s="1"/>
      <c r="T174" s="1"/>
      <c r="U174" s="1"/>
      <c r="V174" s="1"/>
      <c r="W174" s="1"/>
      <c r="X174" s="1"/>
      <c r="Y174" s="1"/>
      <c r="Z174" s="1"/>
    </row>
    <row r="175" spans="1:26" ht="21.75" customHeight="1">
      <c r="A175" s="67" t="s">
        <v>173</v>
      </c>
      <c r="B175" s="68"/>
      <c r="C175" s="32">
        <f>589+54+235+161+2085</f>
        <v>3124</v>
      </c>
      <c r="D175" s="13">
        <v>0</v>
      </c>
      <c r="E175" s="13">
        <f t="shared" ref="E175:I175" si="28">0</f>
        <v>0</v>
      </c>
      <c r="F175" s="13">
        <f t="shared" si="28"/>
        <v>0</v>
      </c>
      <c r="G175" s="13">
        <f t="shared" si="28"/>
        <v>0</v>
      </c>
      <c r="H175" s="13">
        <f t="shared" si="28"/>
        <v>0</v>
      </c>
      <c r="I175" s="13">
        <f t="shared" si="28"/>
        <v>0</v>
      </c>
      <c r="J175" s="13">
        <f t="shared" si="26"/>
        <v>0</v>
      </c>
      <c r="K175" s="69"/>
      <c r="L175" s="68"/>
      <c r="M175" s="1"/>
      <c r="N175" s="1"/>
      <c r="O175" s="1"/>
      <c r="P175" s="1"/>
      <c r="Q175" s="1"/>
      <c r="R175" s="1"/>
      <c r="S175" s="1"/>
      <c r="T175" s="1"/>
      <c r="U175" s="1"/>
      <c r="V175" s="1"/>
      <c r="W175" s="1"/>
      <c r="X175" s="1"/>
      <c r="Y175" s="1"/>
      <c r="Z175" s="1"/>
    </row>
    <row r="176" spans="1:26" ht="22.5" customHeight="1">
      <c r="A176" s="90" t="s">
        <v>174</v>
      </c>
      <c r="B176" s="68"/>
      <c r="C176" s="33">
        <f t="shared" ref="C176:I176" si="29">C174+C171+C165+C157+C133+C118+C89+C67+C59+C175+C168</f>
        <v>255880223</v>
      </c>
      <c r="D176" s="33">
        <f t="shared" si="29"/>
        <v>13622099</v>
      </c>
      <c r="E176" s="33">
        <f t="shared" si="29"/>
        <v>27330293</v>
      </c>
      <c r="F176" s="33">
        <f t="shared" si="29"/>
        <v>46276354</v>
      </c>
      <c r="G176" s="33">
        <f t="shared" si="29"/>
        <v>39603212</v>
      </c>
      <c r="H176" s="33">
        <f t="shared" si="29"/>
        <v>0</v>
      </c>
      <c r="I176" s="33">
        <f t="shared" si="29"/>
        <v>113209859</v>
      </c>
      <c r="J176" s="34">
        <f>IFERROR((I176/(C176+D176)),0)</f>
        <v>0.42007006900667815</v>
      </c>
      <c r="K176" s="91"/>
      <c r="L176" s="68"/>
      <c r="M176" s="1"/>
      <c r="N176" s="1"/>
      <c r="O176" s="1"/>
      <c r="P176" s="1"/>
      <c r="Q176" s="1"/>
      <c r="R176" s="1"/>
      <c r="S176" s="1"/>
      <c r="T176" s="1"/>
      <c r="U176" s="1"/>
      <c r="V176" s="1"/>
      <c r="W176" s="1"/>
      <c r="X176" s="1"/>
      <c r="Y176" s="1"/>
      <c r="Z176" s="1"/>
    </row>
    <row r="177" spans="1:26" ht="24.75" customHeight="1">
      <c r="A177" s="92" t="s">
        <v>175</v>
      </c>
      <c r="B177" s="93"/>
      <c r="C177" s="93"/>
      <c r="D177" s="93"/>
      <c r="E177" s="93"/>
      <c r="F177" s="93"/>
      <c r="G177" s="93"/>
      <c r="H177" s="93"/>
      <c r="I177" s="35" t="s">
        <v>176</v>
      </c>
      <c r="J177" s="46"/>
      <c r="K177" s="46"/>
      <c r="L177" s="46"/>
      <c r="M177" s="1"/>
      <c r="N177" s="1"/>
      <c r="O177" s="1"/>
      <c r="P177" s="1"/>
      <c r="Q177" s="1"/>
      <c r="R177" s="1"/>
      <c r="S177" s="1"/>
      <c r="T177" s="1"/>
      <c r="U177" s="1"/>
      <c r="V177" s="1"/>
      <c r="W177" s="1"/>
      <c r="X177" s="1"/>
      <c r="Y177" s="1"/>
      <c r="Z177" s="1"/>
    </row>
    <row r="178" spans="1:26" ht="24.75" customHeight="1">
      <c r="A178" s="94" t="s">
        <v>177</v>
      </c>
      <c r="B178" s="54"/>
      <c r="C178" s="54"/>
      <c r="D178" s="54"/>
      <c r="E178" s="54"/>
      <c r="F178" s="54"/>
      <c r="G178" s="54"/>
      <c r="H178" s="54"/>
      <c r="I178" s="54"/>
      <c r="J178" s="54"/>
      <c r="K178" s="54"/>
      <c r="L178" s="54"/>
      <c r="M178" s="1"/>
      <c r="N178" s="1"/>
      <c r="O178" s="1"/>
      <c r="P178" s="1"/>
      <c r="Q178" s="1"/>
      <c r="R178" s="1"/>
      <c r="S178" s="1"/>
      <c r="T178" s="1"/>
      <c r="U178" s="1"/>
      <c r="V178" s="1"/>
      <c r="W178" s="1"/>
      <c r="X178" s="1"/>
      <c r="Y178" s="1"/>
      <c r="Z178" s="1"/>
    </row>
    <row r="179" spans="1:26" ht="24.75" customHeight="1">
      <c r="A179" s="98" t="s">
        <v>178</v>
      </c>
      <c r="B179" s="54"/>
      <c r="C179" s="54"/>
      <c r="D179" s="54"/>
      <c r="E179" s="54"/>
      <c r="F179" s="54"/>
      <c r="G179" s="54"/>
      <c r="H179" s="54"/>
      <c r="I179" s="54"/>
      <c r="J179" s="54"/>
      <c r="K179" s="54"/>
      <c r="L179" s="54"/>
      <c r="M179" s="1"/>
      <c r="N179" s="1"/>
      <c r="O179" s="1"/>
      <c r="P179" s="1"/>
      <c r="Q179" s="1"/>
      <c r="R179" s="1"/>
      <c r="S179" s="1"/>
      <c r="T179" s="1"/>
      <c r="U179" s="1"/>
      <c r="V179" s="1"/>
      <c r="W179" s="1"/>
      <c r="X179" s="1"/>
      <c r="Y179" s="1"/>
      <c r="Z179" s="1"/>
    </row>
    <row r="180" spans="1:26" ht="24.75" customHeight="1">
      <c r="A180" s="98" t="s">
        <v>179</v>
      </c>
      <c r="B180" s="54"/>
      <c r="C180" s="54"/>
      <c r="D180" s="54"/>
      <c r="E180" s="54"/>
      <c r="F180" s="54"/>
      <c r="G180" s="54"/>
      <c r="H180" s="54"/>
      <c r="I180" s="54"/>
      <c r="J180" s="54"/>
      <c r="K180" s="54"/>
      <c r="L180" s="54"/>
      <c r="M180" s="1"/>
      <c r="N180" s="1"/>
      <c r="O180" s="1"/>
      <c r="P180" s="1"/>
      <c r="Q180" s="1"/>
      <c r="R180" s="1"/>
      <c r="S180" s="1"/>
      <c r="T180" s="1"/>
      <c r="U180" s="1"/>
      <c r="V180" s="1"/>
      <c r="W180" s="1"/>
      <c r="X180" s="1"/>
      <c r="Y180" s="1"/>
      <c r="Z180" s="1"/>
    </row>
    <row r="181" spans="1:26" ht="30" customHeight="1">
      <c r="A181" s="44" t="s">
        <v>180</v>
      </c>
      <c r="B181" s="2"/>
      <c r="C181" s="2"/>
      <c r="D181" s="2"/>
      <c r="E181" s="2"/>
      <c r="F181" s="2"/>
      <c r="G181" s="2"/>
      <c r="H181" s="2"/>
      <c r="I181" s="2"/>
      <c r="J181" s="2"/>
      <c r="K181" s="2"/>
      <c r="L181" s="2"/>
      <c r="M181" s="1"/>
      <c r="N181" s="1"/>
      <c r="O181" s="1"/>
      <c r="P181" s="1"/>
      <c r="Q181" s="1"/>
      <c r="R181" s="1"/>
      <c r="S181" s="1"/>
      <c r="T181" s="1"/>
      <c r="U181" s="1"/>
      <c r="V181" s="1"/>
      <c r="W181" s="1"/>
      <c r="X181" s="1"/>
      <c r="Y181" s="1"/>
      <c r="Z181" s="1"/>
    </row>
    <row r="182" spans="1:26" ht="30" customHeight="1">
      <c r="A182" s="58" t="s">
        <v>181</v>
      </c>
      <c r="B182" s="54"/>
      <c r="C182" s="54"/>
      <c r="D182" s="54"/>
      <c r="E182" s="54"/>
      <c r="F182" s="54"/>
      <c r="G182" s="54"/>
      <c r="H182" s="99">
        <f>G13+G16-I176</f>
        <v>502806383</v>
      </c>
      <c r="I182" s="100"/>
      <c r="J182" s="47" t="s">
        <v>8</v>
      </c>
      <c r="K182" s="47"/>
      <c r="L182" s="47"/>
      <c r="M182" s="1"/>
      <c r="N182" s="1"/>
      <c r="O182" s="1"/>
      <c r="P182" s="1"/>
      <c r="Q182" s="1"/>
      <c r="R182" s="1"/>
      <c r="S182" s="1"/>
      <c r="T182" s="1"/>
      <c r="U182" s="1"/>
      <c r="V182" s="1"/>
      <c r="W182" s="1"/>
      <c r="X182" s="1"/>
      <c r="Y182" s="1"/>
      <c r="Z182" s="1"/>
    </row>
    <row r="183" spans="1:26" ht="30" customHeight="1">
      <c r="A183" s="58" t="s">
        <v>182</v>
      </c>
      <c r="B183" s="54"/>
      <c r="C183" s="54"/>
      <c r="D183" s="36">
        <v>0</v>
      </c>
      <c r="E183" s="58" t="s">
        <v>183</v>
      </c>
      <c r="F183" s="54"/>
      <c r="G183" s="54"/>
      <c r="H183" s="37"/>
      <c r="I183" s="37"/>
      <c r="J183" s="37"/>
      <c r="K183" s="37"/>
      <c r="L183" s="38"/>
      <c r="M183" s="1"/>
      <c r="N183" s="1"/>
      <c r="O183" s="1"/>
      <c r="P183" s="1"/>
      <c r="Q183" s="1"/>
      <c r="R183" s="1"/>
      <c r="S183" s="1"/>
      <c r="T183" s="1"/>
      <c r="U183" s="1"/>
      <c r="V183" s="1"/>
      <c r="W183" s="1"/>
      <c r="X183" s="1"/>
      <c r="Y183" s="1"/>
      <c r="Z183" s="1"/>
    </row>
    <row r="184" spans="1:26" ht="30" customHeight="1">
      <c r="A184" s="58" t="s">
        <v>184</v>
      </c>
      <c r="B184" s="54"/>
      <c r="C184" s="54"/>
      <c r="D184" s="54"/>
      <c r="E184" s="54"/>
      <c r="F184" s="54"/>
      <c r="G184" s="54"/>
      <c r="H184" s="54"/>
      <c r="I184" s="54"/>
      <c r="J184" s="54"/>
      <c r="K184" s="54"/>
      <c r="L184" s="54"/>
      <c r="M184" s="1"/>
      <c r="N184" s="1"/>
      <c r="O184" s="1"/>
      <c r="P184" s="1"/>
      <c r="Q184" s="1"/>
      <c r="R184" s="1"/>
      <c r="S184" s="1"/>
      <c r="T184" s="1"/>
      <c r="U184" s="1"/>
      <c r="V184" s="1"/>
      <c r="W184" s="1"/>
      <c r="X184" s="1"/>
      <c r="Y184" s="1"/>
      <c r="Z184" s="1"/>
    </row>
    <row r="185" spans="1:26" ht="30" customHeight="1">
      <c r="A185" s="59" t="s">
        <v>185</v>
      </c>
      <c r="B185" s="54"/>
      <c r="C185" s="54"/>
      <c r="D185" s="54"/>
      <c r="E185" s="54"/>
      <c r="F185" s="54"/>
      <c r="G185" s="54"/>
      <c r="H185" s="54"/>
      <c r="I185" s="54"/>
      <c r="J185" s="2"/>
      <c r="K185" s="2"/>
      <c r="L185" s="2"/>
      <c r="M185" s="1"/>
      <c r="N185" s="1"/>
      <c r="O185" s="1"/>
      <c r="P185" s="1"/>
      <c r="Q185" s="1"/>
      <c r="R185" s="1"/>
      <c r="S185" s="1"/>
      <c r="T185" s="1"/>
      <c r="U185" s="1"/>
      <c r="V185" s="1"/>
      <c r="W185" s="1"/>
      <c r="X185" s="1"/>
      <c r="Y185" s="1"/>
      <c r="Z185" s="1"/>
    </row>
    <row r="186" spans="1:26" ht="30" customHeight="1">
      <c r="A186" s="95" t="s">
        <v>236</v>
      </c>
      <c r="B186" s="96"/>
      <c r="C186" s="96"/>
      <c r="D186" s="96"/>
      <c r="E186" s="96"/>
      <c r="F186" s="96"/>
      <c r="G186" s="96"/>
      <c r="H186" s="96"/>
      <c r="I186" s="96"/>
      <c r="J186" s="96"/>
      <c r="K186" s="51"/>
      <c r="L186" s="2"/>
      <c r="M186" s="1"/>
      <c r="N186" s="1"/>
      <c r="O186" s="1"/>
      <c r="P186" s="1"/>
      <c r="Q186" s="1"/>
      <c r="R186" s="1"/>
      <c r="S186" s="1"/>
      <c r="T186" s="1"/>
      <c r="U186" s="1"/>
      <c r="V186" s="1"/>
      <c r="W186" s="1"/>
      <c r="X186" s="1"/>
      <c r="Y186" s="1"/>
      <c r="Z186" s="1"/>
    </row>
    <row r="187" spans="1:26" ht="30" customHeight="1">
      <c r="A187" s="95" t="s">
        <v>237</v>
      </c>
      <c r="B187" s="96"/>
      <c r="C187" s="96"/>
      <c r="D187" s="96"/>
      <c r="E187" s="96"/>
      <c r="F187" s="96"/>
      <c r="G187" s="96"/>
      <c r="H187" s="96"/>
      <c r="I187" s="96"/>
      <c r="J187" s="96"/>
      <c r="K187" s="2"/>
      <c r="L187" s="2"/>
      <c r="M187" s="1"/>
      <c r="N187" s="1"/>
      <c r="O187" s="1"/>
      <c r="P187" s="42"/>
      <c r="Q187" s="1"/>
      <c r="R187" s="1"/>
      <c r="S187" s="1"/>
      <c r="T187" s="1"/>
      <c r="U187" s="1"/>
      <c r="V187" s="1"/>
      <c r="W187" s="1"/>
      <c r="X187" s="1"/>
      <c r="Y187" s="1"/>
      <c r="Z187" s="1"/>
    </row>
    <row r="188" spans="1:26" ht="36" customHeight="1">
      <c r="A188" s="59"/>
      <c r="B188" s="54"/>
      <c r="C188" s="54"/>
      <c r="D188" s="54"/>
      <c r="E188" s="54"/>
      <c r="F188" s="54"/>
      <c r="G188" s="54"/>
      <c r="H188" s="54"/>
      <c r="I188" s="54"/>
      <c r="J188" s="54"/>
      <c r="K188" s="54"/>
      <c r="L188" s="54"/>
      <c r="M188" s="1"/>
      <c r="N188" s="1"/>
      <c r="O188" s="1"/>
      <c r="P188" s="1"/>
      <c r="Q188" s="1"/>
      <c r="R188" s="1"/>
      <c r="S188" s="1"/>
      <c r="T188" s="1"/>
      <c r="U188" s="1"/>
      <c r="V188" s="1"/>
      <c r="W188" s="1"/>
      <c r="X188" s="1"/>
      <c r="Y188" s="1"/>
      <c r="Z188" s="1"/>
    </row>
    <row r="189" spans="1:26" s="50" customFormat="1" ht="30.75" customHeight="1">
      <c r="A189" s="49"/>
      <c r="M189" s="1"/>
      <c r="N189" s="1"/>
      <c r="O189" s="1"/>
      <c r="P189" s="1"/>
      <c r="Q189" s="1"/>
      <c r="R189" s="1"/>
      <c r="S189" s="1"/>
      <c r="T189" s="1"/>
      <c r="U189" s="1"/>
      <c r="V189" s="1"/>
      <c r="W189" s="1"/>
      <c r="X189" s="1"/>
      <c r="Y189" s="1"/>
      <c r="Z189" s="1"/>
    </row>
    <row r="190" spans="1:26" ht="26.25" customHeight="1">
      <c r="B190" s="52" t="s">
        <v>186</v>
      </c>
      <c r="C190" s="2"/>
      <c r="D190" s="2"/>
      <c r="E190" s="2"/>
      <c r="F190" s="2"/>
      <c r="G190" s="2"/>
      <c r="H190" s="2"/>
      <c r="I190" s="52" t="s">
        <v>187</v>
      </c>
      <c r="J190" s="2"/>
      <c r="K190" s="2"/>
      <c r="L190" s="2"/>
      <c r="M190" s="1"/>
      <c r="N190" s="1"/>
      <c r="O190" s="1"/>
      <c r="P190" s="1"/>
      <c r="Q190" s="5"/>
      <c r="R190" s="1"/>
      <c r="S190" s="1"/>
      <c r="T190" s="1"/>
      <c r="U190" s="1"/>
      <c r="V190" s="1"/>
      <c r="W190" s="1"/>
      <c r="X190" s="1"/>
      <c r="Y190" s="1"/>
      <c r="Z190" s="1"/>
    </row>
    <row r="191" spans="1:26" ht="26.25" customHeight="1">
      <c r="B191" s="52" t="s">
        <v>188</v>
      </c>
      <c r="C191" s="52" t="s">
        <v>246</v>
      </c>
      <c r="D191" s="2"/>
      <c r="E191" s="2"/>
      <c r="F191" s="2"/>
      <c r="G191" s="2"/>
      <c r="H191" s="2"/>
      <c r="I191" s="52" t="s">
        <v>189</v>
      </c>
      <c r="J191" s="2"/>
      <c r="K191" s="39"/>
      <c r="L191" s="2"/>
      <c r="M191" s="1"/>
      <c r="N191" s="1"/>
      <c r="O191" s="1"/>
      <c r="P191" s="1"/>
      <c r="Q191" s="1"/>
      <c r="R191" s="1"/>
      <c r="S191" s="1"/>
      <c r="T191" s="1"/>
      <c r="U191" s="1"/>
      <c r="V191" s="1"/>
      <c r="W191" s="1"/>
      <c r="X191" s="1"/>
      <c r="Y191" s="1"/>
      <c r="Z191" s="1"/>
    </row>
    <row r="192" spans="1:26" ht="26.25" customHeight="1">
      <c r="B192" s="52" t="s">
        <v>190</v>
      </c>
      <c r="C192" s="52" t="s">
        <v>248</v>
      </c>
      <c r="D192" s="2"/>
      <c r="E192" s="2"/>
      <c r="F192" s="2"/>
      <c r="G192" s="2"/>
      <c r="H192" s="2"/>
      <c r="I192" s="52"/>
      <c r="J192" s="2"/>
      <c r="K192" s="2"/>
      <c r="L192" s="2"/>
      <c r="M192" s="1"/>
      <c r="N192" s="1"/>
      <c r="O192" s="1"/>
      <c r="P192" s="1"/>
      <c r="Q192" s="1"/>
      <c r="R192" s="1"/>
      <c r="S192" s="1"/>
      <c r="T192" s="1"/>
      <c r="U192" s="1"/>
      <c r="V192" s="1"/>
      <c r="W192" s="1"/>
      <c r="X192" s="1"/>
      <c r="Y192" s="1"/>
      <c r="Z192" s="1"/>
    </row>
    <row r="193" spans="1:26" ht="26.25" customHeight="1">
      <c r="B193" s="52"/>
      <c r="C193" s="2"/>
      <c r="D193" s="2"/>
      <c r="E193" s="2"/>
      <c r="F193" s="2"/>
      <c r="G193" s="2"/>
      <c r="H193" s="2"/>
      <c r="I193" s="52"/>
      <c r="J193" s="2"/>
      <c r="K193" s="2"/>
      <c r="L193" s="2"/>
      <c r="M193" s="1"/>
      <c r="N193" s="1"/>
      <c r="O193" s="1"/>
      <c r="P193" s="1"/>
      <c r="Q193" s="1"/>
      <c r="R193" s="1"/>
      <c r="S193" s="1"/>
      <c r="T193" s="1"/>
      <c r="U193" s="1"/>
      <c r="V193" s="1"/>
      <c r="W193" s="1"/>
      <c r="X193" s="1"/>
      <c r="Y193" s="1"/>
      <c r="Z193" s="1"/>
    </row>
    <row r="194" spans="1:26" ht="35.25" customHeight="1">
      <c r="B194" s="52" t="s">
        <v>191</v>
      </c>
      <c r="C194" s="2"/>
      <c r="D194" s="2"/>
      <c r="E194" s="2"/>
      <c r="F194" s="2"/>
      <c r="G194" s="2"/>
      <c r="H194" s="2"/>
      <c r="I194" s="52" t="s">
        <v>192</v>
      </c>
      <c r="J194" s="2"/>
      <c r="K194" s="2"/>
      <c r="L194" s="2"/>
      <c r="M194" s="1"/>
      <c r="N194" s="1"/>
      <c r="O194" s="1"/>
      <c r="P194" s="1"/>
      <c r="Q194" s="1"/>
      <c r="R194" s="1"/>
      <c r="S194" s="1"/>
      <c r="T194" s="1"/>
      <c r="U194" s="1"/>
      <c r="V194" s="1"/>
      <c r="W194" s="1"/>
      <c r="X194" s="1"/>
      <c r="Y194" s="1"/>
      <c r="Z194" s="1"/>
    </row>
    <row r="195" spans="1:26" ht="35.25" customHeight="1">
      <c r="B195" s="52" t="s">
        <v>189</v>
      </c>
      <c r="C195" s="2"/>
      <c r="D195" s="2"/>
      <c r="E195" s="2"/>
      <c r="F195" s="2"/>
      <c r="G195" s="2"/>
      <c r="H195" s="2"/>
      <c r="I195" s="52" t="s">
        <v>193</v>
      </c>
      <c r="J195" s="2"/>
      <c r="K195" s="2"/>
      <c r="L195" s="2"/>
      <c r="M195" s="1"/>
      <c r="N195" s="1"/>
      <c r="O195" s="1"/>
      <c r="P195" s="1"/>
      <c r="Q195" s="1"/>
      <c r="R195" s="1"/>
      <c r="S195" s="1"/>
      <c r="T195" s="1"/>
      <c r="U195" s="1"/>
      <c r="V195" s="1"/>
      <c r="W195" s="1"/>
      <c r="X195" s="1"/>
      <c r="Y195" s="1"/>
      <c r="Z195" s="1"/>
    </row>
    <row r="196" spans="1:26" ht="26.25" customHeight="1">
      <c r="A196" s="97" t="s">
        <v>194</v>
      </c>
      <c r="B196" s="54"/>
      <c r="C196" s="54"/>
      <c r="D196" s="54"/>
      <c r="E196" s="54"/>
      <c r="F196" s="54"/>
      <c r="G196" s="54"/>
      <c r="H196" s="54"/>
      <c r="I196" s="54"/>
      <c r="J196" s="54"/>
      <c r="K196" s="54"/>
      <c r="L196" s="54"/>
      <c r="M196" s="1"/>
      <c r="N196" s="1"/>
      <c r="O196" s="1"/>
      <c r="P196" s="1"/>
      <c r="Q196" s="1"/>
      <c r="R196" s="1"/>
      <c r="S196" s="1"/>
      <c r="T196" s="1"/>
      <c r="U196" s="1"/>
      <c r="V196" s="1"/>
      <c r="W196" s="1"/>
      <c r="X196" s="1"/>
      <c r="Y196" s="1"/>
      <c r="Z196" s="1"/>
    </row>
    <row r="197" spans="1:26" ht="16.5" customHeight="1">
      <c r="A197" s="40"/>
      <c r="B197" s="40"/>
      <c r="C197" s="40"/>
      <c r="D197" s="40"/>
      <c r="E197" s="40"/>
      <c r="F197" s="40"/>
      <c r="G197" s="40"/>
      <c r="H197" s="40"/>
      <c r="I197" s="40"/>
      <c r="J197" s="40"/>
      <c r="K197" s="40"/>
      <c r="L197" s="40"/>
      <c r="M197" s="1"/>
      <c r="N197" s="1"/>
      <c r="O197" s="1"/>
      <c r="P197" s="1"/>
      <c r="Q197" s="1"/>
      <c r="R197" s="1"/>
      <c r="S197" s="1"/>
      <c r="T197" s="1"/>
      <c r="U197" s="1"/>
      <c r="V197" s="1"/>
      <c r="W197" s="1"/>
      <c r="X197" s="1"/>
      <c r="Y197" s="1"/>
      <c r="Z197" s="1"/>
    </row>
    <row r="198" spans="1:26" ht="16.5" customHeight="1">
      <c r="A198" s="40"/>
      <c r="B198" s="40"/>
      <c r="C198" s="40"/>
      <c r="D198" s="40"/>
      <c r="E198" s="40"/>
      <c r="F198" s="40"/>
      <c r="G198" s="40"/>
      <c r="H198" s="40"/>
      <c r="I198" s="40"/>
      <c r="J198" s="40"/>
      <c r="K198" s="40"/>
      <c r="L198" s="40"/>
      <c r="M198" s="1"/>
      <c r="N198" s="1"/>
      <c r="O198" s="1"/>
      <c r="P198" s="1"/>
      <c r="Q198" s="1"/>
      <c r="R198" s="1"/>
      <c r="S198" s="1"/>
      <c r="T198" s="1"/>
      <c r="U198" s="1"/>
      <c r="V198" s="1"/>
      <c r="W198" s="1"/>
      <c r="X198" s="1"/>
      <c r="Y198" s="1"/>
      <c r="Z198" s="1"/>
    </row>
    <row r="199" spans="1:26" ht="16.5" customHeight="1">
      <c r="A199" s="40"/>
      <c r="B199" s="40"/>
      <c r="C199" s="40"/>
      <c r="D199" s="41"/>
      <c r="E199" s="40"/>
      <c r="F199" s="40"/>
      <c r="G199" s="40"/>
      <c r="H199" s="40"/>
      <c r="I199" s="40"/>
      <c r="J199" s="40"/>
      <c r="K199" s="40"/>
      <c r="L199" s="40"/>
      <c r="M199" s="1"/>
      <c r="N199" s="1"/>
      <c r="O199" s="1"/>
      <c r="P199" s="1"/>
      <c r="Q199" s="1"/>
      <c r="R199" s="1"/>
      <c r="S199" s="1"/>
      <c r="T199" s="1"/>
      <c r="U199" s="1"/>
      <c r="V199" s="1"/>
      <c r="W199" s="1"/>
      <c r="X199" s="1"/>
      <c r="Y199" s="1"/>
      <c r="Z199" s="1"/>
    </row>
    <row r="200" spans="1:26" ht="16.5" customHeight="1">
      <c r="A200" s="40"/>
      <c r="B200" s="40"/>
      <c r="C200" s="40"/>
      <c r="D200" s="40"/>
      <c r="E200" s="40"/>
      <c r="F200" s="40"/>
      <c r="G200" s="40"/>
      <c r="H200" s="40"/>
      <c r="I200" s="40"/>
      <c r="J200" s="40"/>
      <c r="K200" s="40"/>
      <c r="L200" s="40"/>
      <c r="M200" s="1"/>
      <c r="N200" s="1"/>
      <c r="O200" s="1"/>
      <c r="P200" s="1"/>
      <c r="Q200" s="1"/>
      <c r="R200" s="1"/>
      <c r="S200" s="1"/>
      <c r="T200" s="1"/>
      <c r="U200" s="1"/>
      <c r="V200" s="1"/>
      <c r="W200" s="1"/>
      <c r="X200" s="1"/>
      <c r="Y200" s="1"/>
      <c r="Z200" s="1"/>
    </row>
    <row r="201" spans="1:26" ht="16.5" customHeight="1">
      <c r="A201" s="40"/>
      <c r="B201" s="40"/>
      <c r="C201" s="40"/>
      <c r="D201" s="40"/>
      <c r="E201" s="40"/>
      <c r="F201" s="40"/>
      <c r="G201" s="40"/>
      <c r="H201" s="40"/>
      <c r="I201" s="40"/>
      <c r="J201" s="40"/>
      <c r="K201" s="40"/>
      <c r="L201" s="40"/>
      <c r="M201" s="1"/>
      <c r="N201" s="1"/>
      <c r="O201" s="1"/>
      <c r="P201" s="1"/>
      <c r="Q201" s="1"/>
      <c r="R201" s="1"/>
      <c r="S201" s="1"/>
      <c r="T201" s="1"/>
      <c r="U201" s="1"/>
      <c r="V201" s="1"/>
      <c r="W201" s="1"/>
      <c r="X201" s="1"/>
      <c r="Y201" s="1"/>
      <c r="Z201" s="1"/>
    </row>
    <row r="202" spans="1:26" ht="16.5" customHeight="1">
      <c r="A202" s="40"/>
      <c r="B202" s="40"/>
      <c r="C202" s="40"/>
      <c r="D202" s="40"/>
      <c r="E202" s="40"/>
      <c r="F202" s="40"/>
      <c r="G202" s="40"/>
      <c r="H202" s="40"/>
      <c r="I202" s="40"/>
      <c r="J202" s="40"/>
      <c r="K202" s="40"/>
      <c r="L202" s="40"/>
      <c r="M202" s="1"/>
      <c r="N202" s="1"/>
      <c r="O202" s="1"/>
      <c r="P202" s="1"/>
      <c r="Q202" s="1"/>
      <c r="R202" s="1"/>
      <c r="S202" s="1"/>
      <c r="T202" s="1"/>
      <c r="U202" s="1"/>
      <c r="V202" s="1"/>
      <c r="W202" s="1"/>
      <c r="X202" s="1"/>
      <c r="Y202" s="1"/>
      <c r="Z202" s="1"/>
    </row>
    <row r="203" spans="1:26" ht="16.5" customHeight="1">
      <c r="A203" s="40"/>
      <c r="B203" s="40"/>
      <c r="C203" s="40"/>
      <c r="D203" s="40"/>
      <c r="E203" s="40"/>
      <c r="F203" s="40"/>
      <c r="G203" s="40"/>
      <c r="H203" s="40"/>
      <c r="I203" s="40"/>
      <c r="J203" s="40"/>
      <c r="K203" s="40"/>
      <c r="L203" s="40"/>
      <c r="M203" s="1"/>
      <c r="N203" s="1"/>
      <c r="O203" s="1"/>
      <c r="P203" s="1"/>
      <c r="Q203" s="1"/>
      <c r="R203" s="1"/>
      <c r="S203" s="1"/>
      <c r="T203" s="1"/>
      <c r="U203" s="1"/>
      <c r="V203" s="1"/>
      <c r="W203" s="1"/>
      <c r="X203" s="1"/>
      <c r="Y203" s="1"/>
      <c r="Z203" s="1"/>
    </row>
    <row r="204" spans="1:26" ht="16.5" customHeight="1">
      <c r="A204" s="40"/>
      <c r="B204" s="40"/>
      <c r="C204" s="40"/>
      <c r="D204" s="40"/>
      <c r="E204" s="40"/>
      <c r="F204" s="40"/>
      <c r="G204" s="40"/>
      <c r="H204" s="40"/>
      <c r="I204" s="40"/>
      <c r="J204" s="40"/>
      <c r="K204" s="40"/>
      <c r="L204" s="40"/>
      <c r="M204" s="1"/>
      <c r="N204" s="1"/>
      <c r="O204" s="1"/>
      <c r="P204" s="1"/>
      <c r="Q204" s="1"/>
      <c r="R204" s="1"/>
      <c r="S204" s="1"/>
      <c r="T204" s="1"/>
      <c r="U204" s="1"/>
      <c r="V204" s="1"/>
      <c r="W204" s="1"/>
      <c r="X204" s="1"/>
      <c r="Y204" s="1"/>
      <c r="Z204" s="1"/>
    </row>
    <row r="205" spans="1:26" ht="16.5" customHeight="1">
      <c r="A205" s="40"/>
      <c r="B205" s="40"/>
      <c r="C205" s="40"/>
      <c r="D205" s="40"/>
      <c r="E205" s="40"/>
      <c r="F205" s="40"/>
      <c r="G205" s="40"/>
      <c r="H205" s="40"/>
      <c r="I205" s="40"/>
      <c r="J205" s="40"/>
      <c r="K205" s="40"/>
      <c r="L205" s="40"/>
      <c r="M205" s="1"/>
      <c r="N205" s="1"/>
      <c r="O205" s="1"/>
      <c r="P205" s="1"/>
      <c r="Q205" s="1"/>
      <c r="R205" s="1"/>
      <c r="S205" s="1"/>
      <c r="T205" s="1"/>
      <c r="U205" s="1"/>
      <c r="V205" s="1"/>
      <c r="W205" s="1"/>
      <c r="X205" s="1"/>
      <c r="Y205" s="1"/>
      <c r="Z205" s="1"/>
    </row>
    <row r="206" spans="1:26" ht="16.5" customHeight="1">
      <c r="A206" s="40"/>
      <c r="B206" s="40"/>
      <c r="C206" s="40"/>
      <c r="D206" s="40"/>
      <c r="E206" s="40"/>
      <c r="F206" s="40"/>
      <c r="G206" s="40"/>
      <c r="H206" s="40"/>
      <c r="I206" s="40"/>
      <c r="J206" s="40"/>
      <c r="K206" s="40"/>
      <c r="L206" s="40"/>
      <c r="M206" s="1"/>
      <c r="N206" s="1"/>
      <c r="O206" s="1"/>
      <c r="P206" s="1"/>
      <c r="Q206" s="1"/>
      <c r="R206" s="1"/>
      <c r="S206" s="1"/>
      <c r="T206" s="1"/>
      <c r="U206" s="1"/>
      <c r="V206" s="1"/>
      <c r="W206" s="1"/>
      <c r="X206" s="1"/>
      <c r="Y206" s="1"/>
      <c r="Z206" s="1"/>
    </row>
    <row r="207" spans="1:26" ht="16.5" customHeight="1">
      <c r="A207" s="40"/>
      <c r="B207" s="40"/>
      <c r="C207" s="40"/>
      <c r="D207" s="40"/>
      <c r="E207" s="40"/>
      <c r="F207" s="40"/>
      <c r="G207" s="40"/>
      <c r="H207" s="40"/>
      <c r="I207" s="40"/>
      <c r="J207" s="40"/>
      <c r="K207" s="40"/>
      <c r="L207" s="40"/>
      <c r="M207" s="1"/>
      <c r="N207" s="1"/>
      <c r="O207" s="1"/>
      <c r="P207" s="1"/>
      <c r="Q207" s="1"/>
      <c r="R207" s="1"/>
      <c r="S207" s="1"/>
      <c r="T207" s="1"/>
      <c r="U207" s="1"/>
      <c r="V207" s="1"/>
      <c r="W207" s="1"/>
      <c r="X207" s="1"/>
      <c r="Y207" s="1"/>
      <c r="Z207" s="1"/>
    </row>
    <row r="208" spans="1:26" ht="16.5" customHeight="1">
      <c r="A208" s="40"/>
      <c r="B208" s="40"/>
      <c r="C208" s="40"/>
      <c r="D208" s="40"/>
      <c r="E208" s="40"/>
      <c r="F208" s="40"/>
      <c r="G208" s="40"/>
      <c r="H208" s="40"/>
      <c r="I208" s="40"/>
      <c r="J208" s="40"/>
      <c r="K208" s="40"/>
      <c r="L208" s="40"/>
      <c r="M208" s="1"/>
      <c r="N208" s="1"/>
      <c r="O208" s="1"/>
      <c r="P208" s="1"/>
      <c r="Q208" s="1"/>
      <c r="R208" s="1"/>
      <c r="S208" s="1"/>
      <c r="T208" s="1"/>
      <c r="U208" s="1"/>
      <c r="V208" s="1"/>
      <c r="W208" s="1"/>
      <c r="X208" s="1"/>
      <c r="Y208" s="1"/>
      <c r="Z208" s="1"/>
    </row>
    <row r="209" spans="1:26" ht="16.5" customHeight="1">
      <c r="A209" s="40"/>
      <c r="B209" s="40"/>
      <c r="C209" s="40"/>
      <c r="D209" s="40"/>
      <c r="E209" s="40"/>
      <c r="F209" s="40"/>
      <c r="G209" s="40"/>
      <c r="H209" s="40"/>
      <c r="I209" s="40"/>
      <c r="J209" s="40"/>
      <c r="K209" s="40"/>
      <c r="L209" s="40"/>
      <c r="M209" s="1"/>
      <c r="N209" s="1"/>
      <c r="O209" s="1"/>
      <c r="P209" s="1"/>
      <c r="Q209" s="1"/>
      <c r="R209" s="1"/>
      <c r="S209" s="1"/>
      <c r="T209" s="1"/>
      <c r="U209" s="1"/>
      <c r="V209" s="1"/>
      <c r="W209" s="1"/>
      <c r="X209" s="1"/>
      <c r="Y209" s="1"/>
      <c r="Z209" s="1"/>
    </row>
    <row r="210" spans="1:26" ht="16.5" customHeight="1">
      <c r="A210" s="40"/>
      <c r="B210" s="40"/>
      <c r="C210" s="40"/>
      <c r="D210" s="40"/>
      <c r="E210" s="40"/>
      <c r="F210" s="40"/>
      <c r="G210" s="40"/>
      <c r="H210" s="40"/>
      <c r="I210" s="40"/>
      <c r="J210" s="40"/>
      <c r="K210" s="40"/>
      <c r="L210" s="40"/>
      <c r="M210" s="1"/>
      <c r="N210" s="1"/>
      <c r="O210" s="1"/>
      <c r="P210" s="1"/>
      <c r="Q210" s="1"/>
      <c r="R210" s="1"/>
      <c r="S210" s="1"/>
      <c r="T210" s="1"/>
      <c r="U210" s="1"/>
      <c r="V210" s="1"/>
      <c r="W210" s="1"/>
      <c r="X210" s="1"/>
      <c r="Y210" s="1"/>
      <c r="Z210" s="1"/>
    </row>
    <row r="211" spans="1:26" ht="16.5" customHeight="1">
      <c r="A211" s="40"/>
      <c r="B211" s="40"/>
      <c r="C211" s="40"/>
      <c r="D211" s="40"/>
      <c r="E211" s="40"/>
      <c r="F211" s="40"/>
      <c r="G211" s="40"/>
      <c r="H211" s="40"/>
      <c r="I211" s="40"/>
      <c r="J211" s="40"/>
      <c r="K211" s="40"/>
      <c r="L211" s="40"/>
      <c r="M211" s="1"/>
      <c r="N211" s="1"/>
      <c r="O211" s="1"/>
      <c r="P211" s="1"/>
      <c r="Q211" s="1"/>
      <c r="R211" s="1"/>
      <c r="S211" s="1"/>
      <c r="T211" s="1"/>
      <c r="U211" s="1"/>
      <c r="V211" s="1"/>
      <c r="W211" s="1"/>
      <c r="X211" s="1"/>
      <c r="Y211" s="1"/>
      <c r="Z211" s="1"/>
    </row>
    <row r="212" spans="1:26" ht="16.5" customHeight="1">
      <c r="A212" s="40"/>
      <c r="B212" s="40"/>
      <c r="C212" s="40"/>
      <c r="D212" s="40"/>
      <c r="E212" s="40"/>
      <c r="F212" s="40"/>
      <c r="G212" s="40"/>
      <c r="H212" s="40"/>
      <c r="I212" s="40"/>
      <c r="J212" s="40"/>
      <c r="K212" s="40"/>
      <c r="L212" s="40"/>
      <c r="M212" s="1"/>
      <c r="N212" s="1"/>
      <c r="O212" s="1"/>
      <c r="P212" s="1"/>
      <c r="Q212" s="1"/>
      <c r="R212" s="1"/>
      <c r="S212" s="1"/>
      <c r="T212" s="1"/>
      <c r="U212" s="1"/>
      <c r="V212" s="1"/>
      <c r="W212" s="1"/>
      <c r="X212" s="1"/>
      <c r="Y212" s="1"/>
      <c r="Z212" s="1"/>
    </row>
    <row r="213" spans="1:26" ht="16.5" customHeight="1">
      <c r="A213" s="40"/>
      <c r="B213" s="40"/>
      <c r="C213" s="40"/>
      <c r="D213" s="40"/>
      <c r="E213" s="40"/>
      <c r="F213" s="40"/>
      <c r="G213" s="40"/>
      <c r="H213" s="40"/>
      <c r="I213" s="40"/>
      <c r="J213" s="40"/>
      <c r="K213" s="40"/>
      <c r="L213" s="40"/>
      <c r="M213" s="1"/>
      <c r="N213" s="1"/>
      <c r="O213" s="1"/>
      <c r="P213" s="1"/>
      <c r="Q213" s="1"/>
      <c r="R213" s="1"/>
      <c r="S213" s="1"/>
      <c r="T213" s="1"/>
      <c r="U213" s="1"/>
      <c r="V213" s="1"/>
      <c r="W213" s="1"/>
      <c r="X213" s="1"/>
      <c r="Y213" s="1"/>
      <c r="Z213" s="1"/>
    </row>
    <row r="214" spans="1:26" ht="16.5" customHeight="1">
      <c r="A214" s="40"/>
      <c r="B214" s="40"/>
      <c r="C214" s="40"/>
      <c r="D214" s="40"/>
      <c r="E214" s="40"/>
      <c r="F214" s="40"/>
      <c r="G214" s="40"/>
      <c r="H214" s="40"/>
      <c r="I214" s="40"/>
      <c r="J214" s="40"/>
      <c r="K214" s="40"/>
      <c r="L214" s="40"/>
      <c r="M214" s="1"/>
      <c r="N214" s="1"/>
      <c r="O214" s="1"/>
      <c r="P214" s="1"/>
      <c r="Q214" s="1"/>
      <c r="R214" s="1"/>
      <c r="S214" s="1"/>
      <c r="T214" s="1"/>
      <c r="U214" s="1"/>
      <c r="V214" s="1"/>
      <c r="W214" s="1"/>
      <c r="X214" s="1"/>
      <c r="Y214" s="1"/>
      <c r="Z214" s="1"/>
    </row>
    <row r="215" spans="1:26" ht="16.5" customHeight="1">
      <c r="A215" s="40"/>
      <c r="B215" s="40"/>
      <c r="C215" s="40"/>
      <c r="D215" s="40"/>
      <c r="E215" s="40"/>
      <c r="F215" s="40"/>
      <c r="G215" s="40"/>
      <c r="H215" s="40"/>
      <c r="I215" s="40"/>
      <c r="J215" s="40"/>
      <c r="K215" s="40"/>
      <c r="L215" s="40"/>
      <c r="M215" s="1"/>
      <c r="N215" s="1"/>
      <c r="O215" s="1"/>
      <c r="P215" s="1"/>
      <c r="Q215" s="1"/>
      <c r="R215" s="1"/>
      <c r="S215" s="1"/>
      <c r="T215" s="1"/>
      <c r="U215" s="1"/>
      <c r="V215" s="1"/>
      <c r="W215" s="1"/>
      <c r="X215" s="1"/>
      <c r="Y215" s="1"/>
      <c r="Z215" s="1"/>
    </row>
    <row r="216" spans="1:26" ht="16.5" customHeight="1">
      <c r="M216" s="1"/>
      <c r="N216" s="1"/>
      <c r="O216" s="1"/>
      <c r="P216" s="1"/>
    </row>
    <row r="217" spans="1:26" ht="16.5" customHeight="1">
      <c r="M217" s="1"/>
      <c r="N217" s="1"/>
      <c r="O217" s="1"/>
      <c r="P217" s="1"/>
    </row>
    <row r="218" spans="1:26" ht="16.5" customHeight="1">
      <c r="M218" s="1"/>
      <c r="N218" s="1"/>
      <c r="O218" s="1"/>
      <c r="P218" s="1"/>
    </row>
    <row r="219" spans="1:26" ht="16.5" customHeight="1">
      <c r="M219" s="1"/>
      <c r="N219" s="1"/>
      <c r="O219" s="1"/>
      <c r="P219" s="1"/>
    </row>
    <row r="220" spans="1:26" ht="16.5" customHeight="1">
      <c r="M220" s="1"/>
      <c r="N220" s="1"/>
      <c r="O220" s="1"/>
      <c r="P220" s="1"/>
    </row>
    <row r="221" spans="1:26" ht="16.5" customHeight="1">
      <c r="M221" s="1"/>
      <c r="N221" s="1"/>
      <c r="O221" s="1"/>
      <c r="P221" s="1"/>
    </row>
    <row r="222" spans="1:26" ht="16.5" customHeight="1">
      <c r="M222" s="1"/>
      <c r="N222" s="1"/>
      <c r="O222" s="1"/>
      <c r="P222" s="1"/>
    </row>
    <row r="223" spans="1:26" ht="16.5" customHeight="1">
      <c r="M223" s="1"/>
      <c r="N223" s="1"/>
      <c r="O223" s="1"/>
      <c r="P223" s="1"/>
    </row>
    <row r="224" spans="1:26" ht="16.5" customHeight="1">
      <c r="M224" s="1"/>
      <c r="N224" s="1"/>
      <c r="O224" s="1"/>
      <c r="P224" s="1"/>
    </row>
    <row r="225" spans="13:16" ht="16.5" customHeight="1">
      <c r="M225" s="1"/>
      <c r="N225" s="1"/>
      <c r="O225" s="1"/>
      <c r="P225" s="1"/>
    </row>
    <row r="226" spans="13:16" ht="16.5" customHeight="1">
      <c r="M226" s="1"/>
      <c r="N226" s="1"/>
      <c r="O226" s="1"/>
      <c r="P226" s="1"/>
    </row>
    <row r="227" spans="13:16" ht="16.5" customHeight="1">
      <c r="M227" s="1"/>
      <c r="N227" s="1"/>
      <c r="O227" s="1"/>
      <c r="P227" s="1"/>
    </row>
    <row r="228" spans="13:16" ht="16.5" customHeight="1">
      <c r="M228" s="1"/>
      <c r="N228" s="1"/>
      <c r="O228" s="1"/>
      <c r="P228" s="1"/>
    </row>
    <row r="229" spans="13:16" ht="16.5" customHeight="1">
      <c r="M229" s="1"/>
      <c r="N229" s="1"/>
      <c r="O229" s="1"/>
      <c r="P229" s="1"/>
    </row>
    <row r="230" spans="13:16" ht="16.5" customHeight="1">
      <c r="M230" s="1"/>
      <c r="N230" s="1"/>
      <c r="O230" s="1"/>
      <c r="P230" s="1"/>
    </row>
    <row r="231" spans="13:16" ht="16.5" customHeight="1">
      <c r="M231" s="1"/>
      <c r="N231" s="1"/>
      <c r="O231" s="1"/>
      <c r="P231" s="1"/>
    </row>
    <row r="232" spans="13:16" ht="16.5" customHeight="1">
      <c r="M232" s="1"/>
      <c r="N232" s="1"/>
      <c r="O232" s="1"/>
      <c r="P232" s="1"/>
    </row>
    <row r="233" spans="13:16" ht="16.5" customHeight="1">
      <c r="M233" s="1"/>
      <c r="N233" s="1"/>
      <c r="O233" s="1"/>
      <c r="P233" s="1"/>
    </row>
    <row r="234" spans="13:16" ht="16.5" customHeight="1">
      <c r="M234" s="1"/>
      <c r="N234" s="1"/>
      <c r="O234" s="1"/>
      <c r="P234" s="1"/>
    </row>
    <row r="235" spans="13:16" ht="16.5" customHeight="1">
      <c r="M235" s="1"/>
      <c r="N235" s="1"/>
      <c r="O235" s="1"/>
      <c r="P235" s="1"/>
    </row>
    <row r="236" spans="13:16" ht="16.5" customHeight="1">
      <c r="M236" s="1"/>
      <c r="N236" s="1"/>
      <c r="O236" s="1"/>
      <c r="P236" s="1"/>
    </row>
    <row r="237" spans="13:16" ht="16.5" customHeight="1">
      <c r="M237" s="1"/>
      <c r="N237" s="1"/>
      <c r="O237" s="1"/>
      <c r="P237" s="1"/>
    </row>
    <row r="238" spans="13:16" ht="16.5" customHeight="1">
      <c r="M238" s="1"/>
      <c r="N238" s="1"/>
      <c r="O238" s="1"/>
      <c r="P238" s="1"/>
    </row>
    <row r="239" spans="13:16" ht="16.5" customHeight="1">
      <c r="M239" s="1"/>
      <c r="N239" s="1"/>
      <c r="O239" s="1"/>
      <c r="P239" s="1"/>
    </row>
    <row r="240" spans="13:16" ht="16.5" customHeight="1">
      <c r="M240" s="1"/>
      <c r="N240" s="1"/>
      <c r="O240" s="1"/>
      <c r="P240" s="1"/>
    </row>
    <row r="241" spans="13:16" ht="16.5" customHeight="1">
      <c r="M241" s="1"/>
      <c r="N241" s="1"/>
      <c r="O241" s="1"/>
      <c r="P241" s="1"/>
    </row>
    <row r="242" spans="13:16" ht="16.5" customHeight="1">
      <c r="M242" s="1"/>
      <c r="N242" s="1"/>
      <c r="O242" s="1"/>
      <c r="P242" s="1"/>
    </row>
    <row r="243" spans="13:16" ht="16.5" customHeight="1">
      <c r="M243" s="1"/>
      <c r="N243" s="1"/>
      <c r="O243" s="1"/>
      <c r="P243" s="1"/>
    </row>
    <row r="244" spans="13:16" ht="16.5" customHeight="1">
      <c r="M244" s="1"/>
      <c r="N244" s="1"/>
      <c r="O244" s="1"/>
      <c r="P244" s="1"/>
    </row>
    <row r="245" spans="13:16" ht="16.5" customHeight="1">
      <c r="M245" s="1"/>
      <c r="N245" s="1"/>
      <c r="O245" s="1"/>
      <c r="P245" s="1"/>
    </row>
    <row r="246" spans="13:16" ht="16.5" customHeight="1">
      <c r="M246" s="1"/>
      <c r="N246" s="1"/>
      <c r="O246" s="1"/>
      <c r="P246" s="1"/>
    </row>
    <row r="247" spans="13:16" ht="16.5" customHeight="1">
      <c r="M247" s="1"/>
      <c r="N247" s="1"/>
      <c r="O247" s="1"/>
      <c r="P247" s="1"/>
    </row>
    <row r="248" spans="13:16" ht="16.5" customHeight="1">
      <c r="M248" s="1"/>
      <c r="N248" s="1"/>
      <c r="O248" s="1"/>
      <c r="P248" s="1"/>
    </row>
    <row r="249" spans="13:16" ht="16.5" customHeight="1">
      <c r="M249" s="1"/>
      <c r="N249" s="1"/>
      <c r="O249" s="1"/>
      <c r="P249" s="1"/>
    </row>
    <row r="250" spans="13:16" ht="16.5" customHeight="1">
      <c r="M250" s="1"/>
      <c r="N250" s="1"/>
      <c r="O250" s="1"/>
      <c r="P250" s="1"/>
    </row>
    <row r="251" spans="13:16" ht="16.5" customHeight="1">
      <c r="M251" s="1"/>
      <c r="N251" s="1"/>
      <c r="O251" s="1"/>
      <c r="P251" s="1"/>
    </row>
    <row r="252" spans="13:16" ht="16.5" customHeight="1">
      <c r="M252" s="1"/>
      <c r="N252" s="1"/>
      <c r="O252" s="1"/>
      <c r="P252" s="1"/>
    </row>
    <row r="253" spans="13:16" ht="16.5" customHeight="1">
      <c r="M253" s="1"/>
      <c r="N253" s="1"/>
      <c r="O253" s="1"/>
      <c r="P253" s="1"/>
    </row>
    <row r="254" spans="13:16" ht="16.5" customHeight="1">
      <c r="M254" s="1"/>
      <c r="N254" s="1"/>
      <c r="O254" s="1"/>
      <c r="P254" s="1"/>
    </row>
    <row r="255" spans="13:16" ht="16.5" customHeight="1">
      <c r="M255" s="1"/>
      <c r="N255" s="1"/>
      <c r="O255" s="1"/>
      <c r="P255" s="1"/>
    </row>
    <row r="256" spans="13:16" ht="16.5" customHeight="1">
      <c r="M256" s="1"/>
      <c r="N256" s="1"/>
      <c r="O256" s="1"/>
      <c r="P256" s="1"/>
    </row>
    <row r="257" spans="13:16" ht="16.5" customHeight="1">
      <c r="M257" s="1"/>
      <c r="N257" s="1"/>
      <c r="O257" s="1"/>
      <c r="P257" s="1"/>
    </row>
    <row r="258" spans="13:16" ht="16.5" customHeight="1">
      <c r="M258" s="1"/>
      <c r="N258" s="1"/>
      <c r="O258" s="1"/>
      <c r="P258" s="1"/>
    </row>
    <row r="259" spans="13:16" ht="16.5" customHeight="1">
      <c r="M259" s="1"/>
      <c r="N259" s="1"/>
      <c r="O259" s="1"/>
      <c r="P259" s="1"/>
    </row>
    <row r="260" spans="13:16" ht="16.5" customHeight="1">
      <c r="M260" s="1"/>
      <c r="N260" s="1"/>
      <c r="O260" s="1"/>
      <c r="P260" s="1"/>
    </row>
    <row r="261" spans="13:16" ht="16.5" customHeight="1">
      <c r="M261" s="1"/>
      <c r="N261" s="1"/>
      <c r="O261" s="1"/>
      <c r="P261" s="1"/>
    </row>
    <row r="262" spans="13:16" ht="16.5" customHeight="1">
      <c r="M262" s="1"/>
      <c r="N262" s="1"/>
      <c r="O262" s="1"/>
      <c r="P262" s="1"/>
    </row>
    <row r="263" spans="13:16" ht="16.5" customHeight="1">
      <c r="M263" s="1"/>
      <c r="N263" s="1"/>
      <c r="O263" s="1"/>
      <c r="P263" s="1"/>
    </row>
    <row r="264" spans="13:16" ht="16.5" customHeight="1">
      <c r="M264" s="1"/>
      <c r="N264" s="1"/>
      <c r="O264" s="1"/>
      <c r="P264" s="1"/>
    </row>
    <row r="265" spans="13:16" ht="16.5" customHeight="1">
      <c r="M265" s="1"/>
      <c r="N265" s="1"/>
      <c r="O265" s="1"/>
      <c r="P265" s="1"/>
    </row>
    <row r="266" spans="13:16" ht="16.5" customHeight="1">
      <c r="M266" s="1"/>
      <c r="N266" s="1"/>
      <c r="O266" s="1"/>
      <c r="P266" s="1"/>
    </row>
    <row r="267" spans="13:16" ht="16.5" customHeight="1">
      <c r="M267" s="1"/>
      <c r="N267" s="1"/>
      <c r="O267" s="1"/>
      <c r="P267" s="1"/>
    </row>
    <row r="268" spans="13:16" ht="16.5" customHeight="1">
      <c r="M268" s="1"/>
      <c r="N268" s="1"/>
      <c r="O268" s="1"/>
      <c r="P268" s="1"/>
    </row>
    <row r="269" spans="13:16" ht="16.5" customHeight="1">
      <c r="M269" s="1"/>
      <c r="N269" s="1"/>
      <c r="O269" s="1"/>
      <c r="P269" s="1"/>
    </row>
    <row r="270" spans="13:16" ht="16.5" customHeight="1">
      <c r="M270" s="1"/>
      <c r="N270" s="1"/>
      <c r="O270" s="1"/>
      <c r="P270" s="1"/>
    </row>
    <row r="271" spans="13:16" ht="16.5" customHeight="1">
      <c r="M271" s="1"/>
      <c r="N271" s="1"/>
      <c r="O271" s="1"/>
      <c r="P271" s="1"/>
    </row>
    <row r="272" spans="13:16" ht="16.5" customHeight="1">
      <c r="M272" s="1"/>
      <c r="N272" s="1"/>
      <c r="O272" s="1"/>
      <c r="P272" s="1"/>
    </row>
    <row r="273" spans="13:16" ht="16.5" customHeight="1">
      <c r="M273" s="1"/>
      <c r="N273" s="1"/>
      <c r="O273" s="1"/>
      <c r="P273" s="1"/>
    </row>
    <row r="274" spans="13:16" ht="16.5" customHeight="1">
      <c r="M274" s="1"/>
      <c r="N274" s="1"/>
      <c r="O274" s="1"/>
      <c r="P274" s="1"/>
    </row>
    <row r="275" spans="13:16" ht="16.5" customHeight="1">
      <c r="M275" s="1"/>
      <c r="N275" s="1"/>
      <c r="O275" s="1"/>
      <c r="P275" s="1"/>
    </row>
    <row r="276" spans="13:16" ht="16.5" customHeight="1">
      <c r="M276" s="1"/>
      <c r="N276" s="1"/>
      <c r="O276" s="1"/>
      <c r="P276" s="1"/>
    </row>
    <row r="277" spans="13:16" ht="16.5" customHeight="1">
      <c r="M277" s="1"/>
      <c r="N277" s="1"/>
      <c r="O277" s="1"/>
      <c r="P277" s="1"/>
    </row>
    <row r="278" spans="13:16" ht="16.5" customHeight="1">
      <c r="M278" s="1"/>
      <c r="N278" s="1"/>
      <c r="O278" s="1"/>
      <c r="P278" s="1"/>
    </row>
    <row r="279" spans="13:16" ht="16.5" customHeight="1">
      <c r="M279" s="1"/>
      <c r="N279" s="1"/>
      <c r="O279" s="1"/>
      <c r="P279" s="1"/>
    </row>
    <row r="280" spans="13:16" ht="16.5" customHeight="1">
      <c r="M280" s="1"/>
      <c r="N280" s="1"/>
      <c r="O280" s="1"/>
      <c r="P280" s="1"/>
    </row>
    <row r="281" spans="13:16" ht="16.5" customHeight="1">
      <c r="M281" s="1"/>
      <c r="N281" s="1"/>
      <c r="O281" s="1"/>
      <c r="P281" s="1"/>
    </row>
    <row r="282" spans="13:16" ht="16.5" customHeight="1">
      <c r="M282" s="1"/>
      <c r="N282" s="1"/>
      <c r="O282" s="1"/>
      <c r="P282" s="1"/>
    </row>
    <row r="283" spans="13:16" ht="16.5" customHeight="1">
      <c r="M283" s="1"/>
      <c r="N283" s="1"/>
      <c r="O283" s="1"/>
      <c r="P283" s="1"/>
    </row>
    <row r="284" spans="13:16" ht="16.5" customHeight="1">
      <c r="M284" s="1"/>
      <c r="N284" s="1"/>
      <c r="O284" s="1"/>
      <c r="P284" s="1"/>
    </row>
    <row r="285" spans="13:16" ht="16.5" customHeight="1">
      <c r="M285" s="1"/>
      <c r="N285" s="1"/>
      <c r="O285" s="1"/>
      <c r="P285" s="1"/>
    </row>
    <row r="286" spans="13:16" ht="16.5" customHeight="1">
      <c r="M286" s="1"/>
      <c r="N286" s="1"/>
      <c r="O286" s="1"/>
      <c r="P286" s="1"/>
    </row>
    <row r="287" spans="13:16" ht="16.5" customHeight="1">
      <c r="M287" s="1"/>
      <c r="N287" s="1"/>
      <c r="O287" s="1"/>
      <c r="P287" s="1"/>
    </row>
    <row r="288" spans="13:16" ht="16.5" customHeight="1">
      <c r="M288" s="1"/>
      <c r="N288" s="1"/>
      <c r="O288" s="1"/>
      <c r="P288" s="1"/>
    </row>
    <row r="289" spans="13:16" ht="16.5" customHeight="1">
      <c r="M289" s="1"/>
      <c r="N289" s="1"/>
      <c r="O289" s="1"/>
      <c r="P289" s="1"/>
    </row>
    <row r="290" spans="13:16" ht="16.5" customHeight="1">
      <c r="M290" s="1"/>
      <c r="N290" s="1"/>
      <c r="O290" s="1"/>
      <c r="P290" s="1"/>
    </row>
    <row r="291" spans="13:16" ht="16.5" customHeight="1">
      <c r="M291" s="1"/>
      <c r="N291" s="1"/>
      <c r="O291" s="1"/>
      <c r="P291" s="1"/>
    </row>
    <row r="292" spans="13:16" ht="16.5" customHeight="1">
      <c r="M292" s="1"/>
      <c r="N292" s="1"/>
      <c r="O292" s="1"/>
      <c r="P292" s="1"/>
    </row>
    <row r="293" spans="13:16" ht="16.5" customHeight="1">
      <c r="M293" s="1"/>
      <c r="N293" s="1"/>
      <c r="O293" s="1"/>
      <c r="P293" s="1"/>
    </row>
    <row r="294" spans="13:16" ht="16.5" customHeight="1">
      <c r="M294" s="1"/>
      <c r="N294" s="1"/>
      <c r="O294" s="1"/>
      <c r="P294" s="1"/>
    </row>
    <row r="295" spans="13:16" ht="16.5" customHeight="1">
      <c r="M295" s="1"/>
      <c r="N295" s="1"/>
      <c r="O295" s="1"/>
      <c r="P295" s="1"/>
    </row>
    <row r="296" spans="13:16" ht="16.5" customHeight="1">
      <c r="M296" s="1"/>
      <c r="N296" s="1"/>
      <c r="O296" s="1"/>
      <c r="P296" s="1"/>
    </row>
    <row r="297" spans="13:16" ht="16.5" customHeight="1">
      <c r="M297" s="1"/>
      <c r="N297" s="1"/>
      <c r="O297" s="1"/>
      <c r="P297" s="1"/>
    </row>
    <row r="298" spans="13:16" ht="16.5" customHeight="1">
      <c r="M298" s="1"/>
      <c r="N298" s="1"/>
      <c r="O298" s="1"/>
      <c r="P298" s="1"/>
    </row>
    <row r="299" spans="13:16" ht="16.5" customHeight="1">
      <c r="M299" s="1"/>
      <c r="N299" s="1"/>
      <c r="O299" s="1"/>
      <c r="P299" s="1"/>
    </row>
    <row r="300" spans="13:16" ht="16.5" customHeight="1">
      <c r="M300" s="1"/>
      <c r="N300" s="1"/>
      <c r="O300" s="1"/>
      <c r="P300" s="1"/>
    </row>
    <row r="301" spans="13:16" ht="16.5" customHeight="1">
      <c r="M301" s="1"/>
      <c r="N301" s="1"/>
      <c r="O301" s="1"/>
      <c r="P301" s="1"/>
    </row>
    <row r="302" spans="13:16" ht="16.5" customHeight="1">
      <c r="M302" s="1"/>
      <c r="N302" s="1"/>
      <c r="O302" s="1"/>
      <c r="P302" s="1"/>
    </row>
    <row r="303" spans="13:16" ht="16.5" customHeight="1">
      <c r="M303" s="1"/>
      <c r="N303" s="1"/>
      <c r="O303" s="1"/>
      <c r="P303" s="1"/>
    </row>
    <row r="304" spans="13:16" ht="16.5" customHeight="1">
      <c r="M304" s="1"/>
      <c r="N304" s="1"/>
      <c r="O304" s="1"/>
      <c r="P304" s="1"/>
    </row>
    <row r="305" spans="13:16" ht="16.5" customHeight="1">
      <c r="M305" s="1"/>
      <c r="N305" s="1"/>
      <c r="O305" s="1"/>
      <c r="P305" s="1"/>
    </row>
    <row r="306" spans="13:16" ht="16.5" customHeight="1">
      <c r="M306" s="1"/>
      <c r="N306" s="1"/>
      <c r="O306" s="1"/>
      <c r="P306" s="1"/>
    </row>
    <row r="307" spans="13:16" ht="16.5" customHeight="1">
      <c r="M307" s="1"/>
      <c r="N307" s="1"/>
      <c r="O307" s="1"/>
      <c r="P307" s="1"/>
    </row>
    <row r="308" spans="13:16" ht="16.5" customHeight="1">
      <c r="M308" s="1"/>
      <c r="N308" s="1"/>
      <c r="O308" s="1"/>
      <c r="P308" s="1"/>
    </row>
    <row r="309" spans="13:16" ht="16.5" customHeight="1">
      <c r="M309" s="1"/>
      <c r="N309" s="1"/>
      <c r="O309" s="1"/>
      <c r="P309" s="1"/>
    </row>
    <row r="310" spans="13:16" ht="16.5" customHeight="1">
      <c r="M310" s="1"/>
      <c r="N310" s="1"/>
      <c r="O310" s="1"/>
      <c r="P310" s="1"/>
    </row>
    <row r="311" spans="13:16" ht="16.5" customHeight="1">
      <c r="M311" s="1"/>
      <c r="N311" s="1"/>
      <c r="O311" s="1"/>
      <c r="P311" s="1"/>
    </row>
    <row r="312" spans="13:16" ht="16.5" customHeight="1">
      <c r="M312" s="1"/>
      <c r="N312" s="1"/>
      <c r="O312" s="1"/>
      <c r="P312" s="1"/>
    </row>
    <row r="313" spans="13:16" ht="16.5" customHeight="1">
      <c r="M313" s="1"/>
      <c r="N313" s="1"/>
      <c r="O313" s="1"/>
      <c r="P313" s="1"/>
    </row>
    <row r="314" spans="13:16" ht="16.5" customHeight="1">
      <c r="M314" s="1"/>
      <c r="N314" s="1"/>
      <c r="O314" s="1"/>
      <c r="P314" s="1"/>
    </row>
    <row r="315" spans="13:16" ht="16.5" customHeight="1">
      <c r="M315" s="1"/>
      <c r="N315" s="1"/>
      <c r="O315" s="1"/>
      <c r="P315" s="1"/>
    </row>
    <row r="316" spans="13:16" ht="16.5" customHeight="1">
      <c r="M316" s="1"/>
      <c r="N316" s="1"/>
      <c r="O316" s="1"/>
      <c r="P316" s="1"/>
    </row>
    <row r="317" spans="13:16" ht="16.5" customHeight="1">
      <c r="M317" s="1"/>
      <c r="N317" s="1"/>
      <c r="O317" s="1"/>
      <c r="P317" s="1"/>
    </row>
    <row r="318" spans="13:16" ht="16.5" customHeight="1">
      <c r="M318" s="1"/>
      <c r="N318" s="1"/>
      <c r="O318" s="1"/>
      <c r="P318" s="1"/>
    </row>
    <row r="319" spans="13:16" ht="16.5" customHeight="1">
      <c r="M319" s="1"/>
      <c r="N319" s="1"/>
      <c r="O319" s="1"/>
      <c r="P319" s="1"/>
    </row>
    <row r="320" spans="13:16" ht="16.5" customHeight="1">
      <c r="M320" s="1"/>
      <c r="N320" s="1"/>
      <c r="O320" s="1"/>
      <c r="P320" s="1"/>
    </row>
    <row r="321" spans="13:16" ht="16.5" customHeight="1">
      <c r="M321" s="1"/>
      <c r="N321" s="1"/>
      <c r="O321" s="1"/>
      <c r="P321" s="1"/>
    </row>
    <row r="322" spans="13:16" ht="16.5" customHeight="1">
      <c r="M322" s="1"/>
      <c r="N322" s="1"/>
      <c r="O322" s="1"/>
      <c r="P322" s="1"/>
    </row>
    <row r="323" spans="13:16" ht="16.5" customHeight="1">
      <c r="M323" s="1"/>
      <c r="N323" s="1"/>
      <c r="O323" s="1"/>
      <c r="P323" s="1"/>
    </row>
    <row r="324" spans="13:16" ht="16.5" customHeight="1">
      <c r="M324" s="1"/>
      <c r="N324" s="1"/>
      <c r="O324" s="1"/>
      <c r="P324" s="1"/>
    </row>
    <row r="325" spans="13:16" ht="16.5" customHeight="1">
      <c r="M325" s="1"/>
      <c r="N325" s="1"/>
      <c r="O325" s="1"/>
      <c r="P325" s="1"/>
    </row>
    <row r="326" spans="13:16" ht="16.5" customHeight="1">
      <c r="M326" s="1"/>
      <c r="N326" s="1"/>
      <c r="O326" s="1"/>
      <c r="P326" s="1"/>
    </row>
    <row r="327" spans="13:16" ht="16.5" customHeight="1">
      <c r="M327" s="1"/>
      <c r="N327" s="1"/>
      <c r="O327" s="1"/>
      <c r="P327" s="1"/>
    </row>
    <row r="328" spans="13:16" ht="16.5" customHeight="1">
      <c r="M328" s="1"/>
      <c r="N328" s="1"/>
      <c r="O328" s="1"/>
      <c r="P328" s="1"/>
    </row>
    <row r="329" spans="13:16" ht="16.5" customHeight="1">
      <c r="M329" s="1"/>
      <c r="N329" s="1"/>
      <c r="O329" s="1"/>
      <c r="P329" s="1"/>
    </row>
    <row r="330" spans="13:16" ht="16.5" customHeight="1">
      <c r="M330" s="1"/>
      <c r="N330" s="1"/>
      <c r="O330" s="1"/>
      <c r="P330" s="1"/>
    </row>
    <row r="331" spans="13:16" ht="16.5" customHeight="1">
      <c r="M331" s="1"/>
      <c r="N331" s="1"/>
      <c r="O331" s="1"/>
      <c r="P331" s="1"/>
    </row>
    <row r="332" spans="13:16" ht="16.5" customHeight="1">
      <c r="M332" s="1"/>
      <c r="N332" s="1"/>
      <c r="O332" s="1"/>
      <c r="P332" s="1"/>
    </row>
    <row r="333" spans="13:16" ht="16.5" customHeight="1">
      <c r="M333" s="1"/>
      <c r="N333" s="1"/>
      <c r="O333" s="1"/>
      <c r="P333" s="1"/>
    </row>
    <row r="334" spans="13:16" ht="16.5" customHeight="1">
      <c r="M334" s="1"/>
      <c r="N334" s="1"/>
      <c r="O334" s="1"/>
      <c r="P334" s="1"/>
    </row>
    <row r="335" spans="13:16" ht="16.5" customHeight="1">
      <c r="M335" s="1"/>
      <c r="N335" s="1"/>
      <c r="O335" s="1"/>
      <c r="P335" s="1"/>
    </row>
    <row r="336" spans="13:16" ht="16.5" customHeight="1">
      <c r="M336" s="1"/>
      <c r="N336" s="1"/>
      <c r="O336" s="1"/>
      <c r="P336" s="1"/>
    </row>
    <row r="337" spans="13:16" ht="16.5" customHeight="1">
      <c r="M337" s="1"/>
      <c r="N337" s="1"/>
      <c r="O337" s="1"/>
      <c r="P337" s="1"/>
    </row>
    <row r="338" spans="13:16" ht="16.5" customHeight="1">
      <c r="M338" s="1"/>
      <c r="N338" s="1"/>
      <c r="O338" s="1"/>
      <c r="P338" s="1"/>
    </row>
    <row r="339" spans="13:16" ht="16.5" customHeight="1">
      <c r="M339" s="1"/>
      <c r="N339" s="1"/>
      <c r="O339" s="1"/>
      <c r="P339" s="1"/>
    </row>
    <row r="340" spans="13:16" ht="16.5" customHeight="1">
      <c r="M340" s="1"/>
      <c r="N340" s="1"/>
      <c r="O340" s="1"/>
      <c r="P340" s="1"/>
    </row>
    <row r="341" spans="13:16" ht="16.5" customHeight="1">
      <c r="M341" s="1"/>
      <c r="N341" s="1"/>
      <c r="O341" s="1"/>
      <c r="P341" s="1"/>
    </row>
    <row r="342" spans="13:16" ht="16.5" customHeight="1">
      <c r="M342" s="1"/>
      <c r="N342" s="1"/>
      <c r="O342" s="1"/>
      <c r="P342" s="1"/>
    </row>
    <row r="343" spans="13:16" ht="16.5" customHeight="1">
      <c r="M343" s="1"/>
      <c r="N343" s="1"/>
      <c r="O343" s="1"/>
      <c r="P343" s="1"/>
    </row>
    <row r="344" spans="13:16" ht="16.5" customHeight="1">
      <c r="M344" s="1"/>
      <c r="N344" s="1"/>
      <c r="O344" s="1"/>
      <c r="P344" s="1"/>
    </row>
    <row r="345" spans="13:16" ht="16.5" customHeight="1">
      <c r="M345" s="1"/>
      <c r="N345" s="1"/>
      <c r="O345" s="1"/>
      <c r="P345" s="1"/>
    </row>
    <row r="346" spans="13:16" ht="16.5" customHeight="1">
      <c r="M346" s="1"/>
      <c r="N346" s="1"/>
      <c r="O346" s="1"/>
      <c r="P346" s="1"/>
    </row>
    <row r="347" spans="13:16" ht="16.5" customHeight="1">
      <c r="M347" s="1"/>
      <c r="N347" s="1"/>
      <c r="O347" s="1"/>
      <c r="P347" s="1"/>
    </row>
    <row r="348" spans="13:16" ht="16.5" customHeight="1">
      <c r="M348" s="1"/>
      <c r="N348" s="1"/>
      <c r="O348" s="1"/>
      <c r="P348" s="1"/>
    </row>
    <row r="349" spans="13:16" ht="16.5" customHeight="1">
      <c r="M349" s="1"/>
      <c r="N349" s="1"/>
      <c r="O349" s="1"/>
      <c r="P349" s="1"/>
    </row>
    <row r="350" spans="13:16" ht="16.5" customHeight="1">
      <c r="M350" s="1"/>
      <c r="N350" s="1"/>
      <c r="O350" s="1"/>
      <c r="P350" s="1"/>
    </row>
    <row r="351" spans="13:16" ht="16.5" customHeight="1">
      <c r="M351" s="1"/>
      <c r="N351" s="1"/>
      <c r="O351" s="1"/>
      <c r="P351" s="1"/>
    </row>
    <row r="352" spans="13:16" ht="16.5" customHeight="1">
      <c r="M352" s="1"/>
      <c r="N352" s="1"/>
      <c r="O352" s="1"/>
      <c r="P352" s="1"/>
    </row>
    <row r="353" spans="13:16" ht="16.5" customHeight="1">
      <c r="M353" s="1"/>
      <c r="N353" s="1"/>
      <c r="O353" s="1"/>
      <c r="P353" s="1"/>
    </row>
    <row r="354" spans="13:16" ht="16.5" customHeight="1">
      <c r="M354" s="1"/>
      <c r="N354" s="1"/>
      <c r="O354" s="1"/>
      <c r="P354" s="1"/>
    </row>
    <row r="355" spans="13:16" ht="16.5" customHeight="1">
      <c r="M355" s="1"/>
      <c r="N355" s="1"/>
      <c r="O355" s="1"/>
      <c r="P355" s="1"/>
    </row>
    <row r="356" spans="13:16" ht="16.5" customHeight="1">
      <c r="M356" s="1"/>
      <c r="N356" s="1"/>
      <c r="O356" s="1"/>
      <c r="P356" s="1"/>
    </row>
    <row r="357" spans="13:16" ht="16.5" customHeight="1">
      <c r="M357" s="1"/>
      <c r="N357" s="1"/>
      <c r="O357" s="1"/>
      <c r="P357" s="1"/>
    </row>
    <row r="358" spans="13:16" ht="16.5" customHeight="1">
      <c r="M358" s="1"/>
      <c r="N358" s="1"/>
      <c r="O358" s="1"/>
      <c r="P358" s="1"/>
    </row>
    <row r="359" spans="13:16" ht="16.5" customHeight="1">
      <c r="M359" s="1"/>
      <c r="N359" s="1"/>
      <c r="O359" s="1"/>
      <c r="P359" s="1"/>
    </row>
    <row r="360" spans="13:16" ht="16.5" customHeight="1">
      <c r="M360" s="1"/>
      <c r="N360" s="1"/>
      <c r="O360" s="1"/>
      <c r="P360" s="1"/>
    </row>
    <row r="361" spans="13:16" ht="16.5" customHeight="1">
      <c r="M361" s="1"/>
      <c r="N361" s="1"/>
      <c r="O361" s="1"/>
      <c r="P361" s="1"/>
    </row>
    <row r="362" spans="13:16" ht="16.5" customHeight="1">
      <c r="M362" s="1"/>
      <c r="N362" s="1"/>
      <c r="O362" s="1"/>
      <c r="P362" s="1"/>
    </row>
    <row r="363" spans="13:16" ht="16.5" customHeight="1">
      <c r="M363" s="1"/>
      <c r="N363" s="1"/>
      <c r="O363" s="1"/>
      <c r="P363" s="1"/>
    </row>
    <row r="364" spans="13:16" ht="16.5" customHeight="1">
      <c r="M364" s="1"/>
      <c r="N364" s="1"/>
      <c r="O364" s="1"/>
      <c r="P364" s="1"/>
    </row>
    <row r="365" spans="13:16" ht="16.5" customHeight="1">
      <c r="M365" s="1"/>
      <c r="N365" s="1"/>
      <c r="O365" s="1"/>
      <c r="P365" s="1"/>
    </row>
    <row r="366" spans="13:16" ht="16.5" customHeight="1">
      <c r="M366" s="1"/>
      <c r="N366" s="1"/>
      <c r="O366" s="1"/>
      <c r="P366" s="1"/>
    </row>
    <row r="367" spans="13:16" ht="16.5" customHeight="1">
      <c r="M367" s="1"/>
      <c r="N367" s="1"/>
      <c r="O367" s="1"/>
      <c r="P367" s="1"/>
    </row>
    <row r="368" spans="13:16" ht="16.5" customHeight="1">
      <c r="M368" s="1"/>
      <c r="N368" s="1"/>
      <c r="O368" s="1"/>
      <c r="P368" s="1"/>
    </row>
    <row r="369" spans="13:16" ht="16.5" customHeight="1">
      <c r="M369" s="1"/>
      <c r="N369" s="1"/>
      <c r="O369" s="1"/>
      <c r="P369" s="1"/>
    </row>
    <row r="370" spans="13:16" ht="16.5" customHeight="1">
      <c r="M370" s="1"/>
      <c r="N370" s="1"/>
      <c r="O370" s="1"/>
      <c r="P370" s="1"/>
    </row>
    <row r="371" spans="13:16" ht="16.5" customHeight="1">
      <c r="M371" s="1"/>
      <c r="N371" s="1"/>
      <c r="O371" s="1"/>
      <c r="P371" s="1"/>
    </row>
    <row r="372" spans="13:16" ht="16.5" customHeight="1">
      <c r="M372" s="1"/>
      <c r="N372" s="1"/>
      <c r="O372" s="1"/>
      <c r="P372" s="1"/>
    </row>
    <row r="373" spans="13:16" ht="16.5" customHeight="1">
      <c r="M373" s="1"/>
      <c r="N373" s="1"/>
      <c r="O373" s="1"/>
      <c r="P373" s="1"/>
    </row>
    <row r="374" spans="13:16" ht="16.5" customHeight="1">
      <c r="M374" s="1"/>
      <c r="N374" s="1"/>
      <c r="O374" s="1"/>
      <c r="P374" s="1"/>
    </row>
    <row r="375" spans="13:16" ht="16.5" customHeight="1">
      <c r="M375" s="1"/>
      <c r="N375" s="1"/>
      <c r="O375" s="1"/>
      <c r="P375" s="1"/>
    </row>
    <row r="376" spans="13:16" ht="16.5" customHeight="1">
      <c r="M376" s="1"/>
      <c r="N376" s="1"/>
      <c r="O376" s="1"/>
      <c r="P376" s="1"/>
    </row>
    <row r="377" spans="13:16" ht="16.5" customHeight="1">
      <c r="M377" s="1"/>
      <c r="N377" s="1"/>
      <c r="O377" s="1"/>
      <c r="P377" s="1"/>
    </row>
    <row r="378" spans="13:16" ht="16.5" customHeight="1">
      <c r="M378" s="1"/>
      <c r="N378" s="1"/>
      <c r="O378" s="1"/>
      <c r="P378" s="1"/>
    </row>
    <row r="379" spans="13:16" ht="16.5" customHeight="1">
      <c r="M379" s="1"/>
      <c r="N379" s="1"/>
      <c r="O379" s="1"/>
      <c r="P379" s="1"/>
    </row>
    <row r="380" spans="13:16" ht="16.5" customHeight="1">
      <c r="M380" s="1"/>
      <c r="N380" s="1"/>
      <c r="O380" s="1"/>
      <c r="P380" s="1"/>
    </row>
    <row r="381" spans="13:16" ht="16.5" customHeight="1">
      <c r="M381" s="1"/>
      <c r="N381" s="1"/>
      <c r="O381" s="1"/>
      <c r="P381" s="1"/>
    </row>
    <row r="382" spans="13:16" ht="16.5" customHeight="1">
      <c r="M382" s="1"/>
      <c r="N382" s="1"/>
      <c r="O382" s="1"/>
      <c r="P382" s="1"/>
    </row>
    <row r="383" spans="13:16" ht="16.5" customHeight="1">
      <c r="M383" s="1"/>
      <c r="N383" s="1"/>
      <c r="O383" s="1"/>
      <c r="P383" s="1"/>
    </row>
    <row r="384" spans="13:16" ht="16.5" customHeight="1">
      <c r="M384" s="1"/>
      <c r="N384" s="1"/>
      <c r="O384" s="1"/>
      <c r="P384" s="1"/>
    </row>
    <row r="385" spans="13:16" ht="16.5" customHeight="1">
      <c r="M385" s="1"/>
      <c r="N385" s="1"/>
      <c r="O385" s="1"/>
      <c r="P385" s="1"/>
    </row>
    <row r="386" spans="13:16" ht="16.5" customHeight="1">
      <c r="M386" s="1"/>
      <c r="N386" s="1"/>
      <c r="O386" s="1"/>
      <c r="P386" s="1"/>
    </row>
    <row r="387" spans="13:16" ht="16.5" customHeight="1">
      <c r="M387" s="1"/>
      <c r="N387" s="1"/>
      <c r="O387" s="1"/>
      <c r="P387" s="1"/>
    </row>
    <row r="388" spans="13:16" ht="16.5" customHeight="1">
      <c r="M388" s="1"/>
      <c r="N388" s="1"/>
      <c r="O388" s="1"/>
      <c r="P388" s="1"/>
    </row>
    <row r="389" spans="13:16" ht="16.5" customHeight="1">
      <c r="M389" s="1"/>
      <c r="N389" s="1"/>
      <c r="O389" s="1"/>
      <c r="P389" s="1"/>
    </row>
    <row r="390" spans="13:16" ht="16.5" customHeight="1">
      <c r="M390" s="1"/>
      <c r="N390" s="1"/>
      <c r="O390" s="1"/>
      <c r="P390" s="1"/>
    </row>
    <row r="391" spans="13:16" ht="16.5" customHeight="1">
      <c r="M391" s="1"/>
      <c r="N391" s="1"/>
      <c r="O391" s="1"/>
      <c r="P391" s="1"/>
    </row>
    <row r="392" spans="13:16" ht="16.5" customHeight="1">
      <c r="M392" s="1"/>
      <c r="N392" s="1"/>
      <c r="O392" s="1"/>
      <c r="P392" s="1"/>
    </row>
    <row r="393" spans="13:16" ht="16.5" customHeight="1">
      <c r="M393" s="1"/>
      <c r="N393" s="1"/>
      <c r="O393" s="1"/>
      <c r="P393" s="1"/>
    </row>
    <row r="394" spans="13:16" ht="16.5" customHeight="1">
      <c r="M394" s="1"/>
      <c r="N394" s="1"/>
      <c r="O394" s="1"/>
      <c r="P394" s="1"/>
    </row>
    <row r="395" spans="13:16" ht="16.5" customHeight="1">
      <c r="M395" s="1"/>
      <c r="N395" s="1"/>
      <c r="O395" s="1"/>
      <c r="P395" s="1"/>
    </row>
    <row r="396" spans="13:16" ht="16.5" customHeight="1">
      <c r="M396" s="1"/>
      <c r="N396" s="1"/>
      <c r="O396" s="1"/>
      <c r="P396" s="1"/>
    </row>
    <row r="397" spans="13:16" ht="16.5" customHeight="1">
      <c r="M397" s="1"/>
      <c r="N397" s="1"/>
      <c r="O397" s="1"/>
      <c r="P397" s="1"/>
    </row>
    <row r="398" spans="13:16" ht="16.5" customHeight="1">
      <c r="M398" s="1"/>
      <c r="N398" s="1"/>
      <c r="O398" s="1"/>
      <c r="P398" s="1"/>
    </row>
    <row r="399" spans="13:16" ht="16.5" customHeight="1">
      <c r="M399" s="1"/>
      <c r="N399" s="1"/>
      <c r="O399" s="1"/>
      <c r="P399" s="1"/>
    </row>
    <row r="400" spans="13:16" ht="16.5" customHeight="1">
      <c r="M400" s="1"/>
      <c r="N400" s="1"/>
      <c r="O400" s="1"/>
      <c r="P400" s="1"/>
    </row>
    <row r="401" spans="13:16" ht="16.5" customHeight="1">
      <c r="M401" s="1"/>
      <c r="N401" s="1"/>
      <c r="O401" s="1"/>
      <c r="P401" s="1"/>
    </row>
    <row r="402" spans="13:16" ht="16.5" customHeight="1">
      <c r="M402" s="1"/>
      <c r="N402" s="1"/>
      <c r="O402" s="1"/>
      <c r="P402" s="1"/>
    </row>
    <row r="403" spans="13:16" ht="16.5" customHeight="1">
      <c r="M403" s="1"/>
      <c r="N403" s="1"/>
      <c r="O403" s="1"/>
      <c r="P403" s="1"/>
    </row>
    <row r="404" spans="13:16" ht="16.5" customHeight="1">
      <c r="M404" s="1"/>
      <c r="N404" s="1"/>
      <c r="O404" s="1"/>
      <c r="P404" s="1"/>
    </row>
    <row r="405" spans="13:16" ht="16.5" customHeight="1">
      <c r="M405" s="1"/>
      <c r="N405" s="1"/>
      <c r="O405" s="1"/>
      <c r="P405" s="1"/>
    </row>
    <row r="406" spans="13:16" ht="16.5" customHeight="1">
      <c r="M406" s="1"/>
      <c r="N406" s="1"/>
      <c r="O406" s="1"/>
      <c r="P406" s="1"/>
    </row>
    <row r="407" spans="13:16" ht="16.5" customHeight="1">
      <c r="M407" s="1"/>
      <c r="N407" s="1"/>
      <c r="O407" s="1"/>
      <c r="P407" s="1"/>
    </row>
    <row r="408" spans="13:16" ht="16.5" customHeight="1">
      <c r="M408" s="1"/>
      <c r="N408" s="1"/>
      <c r="O408" s="1"/>
      <c r="P408" s="1"/>
    </row>
    <row r="409" spans="13:16" ht="16.5" customHeight="1">
      <c r="M409" s="1"/>
      <c r="N409" s="1"/>
      <c r="O409" s="1"/>
      <c r="P409" s="1"/>
    </row>
    <row r="410" spans="13:16" ht="16.5" customHeight="1">
      <c r="M410" s="1"/>
      <c r="N410" s="1"/>
      <c r="O410" s="1"/>
      <c r="P410" s="1"/>
    </row>
    <row r="411" spans="13:16" ht="16.5" customHeight="1">
      <c r="M411" s="1"/>
      <c r="N411" s="1"/>
      <c r="O411" s="1"/>
      <c r="P411" s="1"/>
    </row>
    <row r="412" spans="13:16" ht="16.5" customHeight="1">
      <c r="M412" s="1"/>
      <c r="N412" s="1"/>
      <c r="O412" s="1"/>
      <c r="P412" s="1"/>
    </row>
    <row r="413" spans="13:16" ht="16.5" customHeight="1">
      <c r="M413" s="1"/>
      <c r="N413" s="1"/>
      <c r="O413" s="1"/>
      <c r="P413" s="1"/>
    </row>
    <row r="414" spans="13:16" ht="16.5" customHeight="1">
      <c r="M414" s="1"/>
      <c r="N414" s="1"/>
      <c r="O414" s="1"/>
      <c r="P414" s="1"/>
    </row>
    <row r="415" spans="13:16" ht="16.5" customHeight="1">
      <c r="M415" s="1"/>
      <c r="N415" s="1"/>
      <c r="O415" s="1"/>
      <c r="P415" s="1"/>
    </row>
    <row r="416" spans="13:16" ht="16.5" customHeight="1">
      <c r="M416" s="1"/>
      <c r="N416" s="1"/>
      <c r="O416" s="1"/>
      <c r="P416" s="1"/>
    </row>
    <row r="417" spans="13:16" ht="16.5" customHeight="1">
      <c r="M417" s="1"/>
      <c r="N417" s="1"/>
      <c r="O417" s="1"/>
      <c r="P417" s="1"/>
    </row>
    <row r="418" spans="13:16" ht="16.5" customHeight="1">
      <c r="M418" s="1"/>
      <c r="N418" s="1"/>
      <c r="O418" s="1"/>
      <c r="P418" s="1"/>
    </row>
    <row r="419" spans="13:16" ht="16.5" customHeight="1">
      <c r="M419" s="1"/>
      <c r="N419" s="1"/>
      <c r="O419" s="1"/>
      <c r="P419" s="1"/>
    </row>
    <row r="420" spans="13:16" ht="16.5" customHeight="1">
      <c r="M420" s="1"/>
      <c r="N420" s="1"/>
      <c r="O420" s="1"/>
      <c r="P420" s="1"/>
    </row>
    <row r="421" spans="13:16" ht="16.5" customHeight="1">
      <c r="M421" s="1"/>
      <c r="N421" s="1"/>
      <c r="O421" s="1"/>
      <c r="P421" s="1"/>
    </row>
    <row r="422" spans="13:16" ht="16.5" customHeight="1">
      <c r="M422" s="1"/>
      <c r="N422" s="1"/>
      <c r="O422" s="1"/>
      <c r="P422" s="1"/>
    </row>
    <row r="423" spans="13:16" ht="16.5" customHeight="1">
      <c r="M423" s="1"/>
      <c r="N423" s="1"/>
      <c r="O423" s="1"/>
      <c r="P423" s="1"/>
    </row>
    <row r="424" spans="13:16" ht="16.5" customHeight="1">
      <c r="M424" s="1"/>
      <c r="N424" s="1"/>
      <c r="O424" s="1"/>
      <c r="P424" s="1"/>
    </row>
    <row r="425" spans="13:16" ht="16.5" customHeight="1">
      <c r="M425" s="1"/>
      <c r="N425" s="1"/>
      <c r="O425" s="1"/>
      <c r="P425" s="1"/>
    </row>
    <row r="426" spans="13:16" ht="16.5" customHeight="1">
      <c r="M426" s="1"/>
      <c r="N426" s="1"/>
      <c r="O426" s="1"/>
      <c r="P426" s="1"/>
    </row>
    <row r="427" spans="13:16" ht="16.5" customHeight="1">
      <c r="M427" s="1"/>
      <c r="N427" s="1"/>
      <c r="O427" s="1"/>
      <c r="P427" s="1"/>
    </row>
    <row r="428" spans="13:16" ht="16.5" customHeight="1">
      <c r="M428" s="1"/>
      <c r="N428" s="1"/>
      <c r="O428" s="1"/>
      <c r="P428" s="1"/>
    </row>
    <row r="429" spans="13:16" ht="16.5" customHeight="1">
      <c r="M429" s="1"/>
      <c r="N429" s="1"/>
      <c r="O429" s="1"/>
      <c r="P429" s="1"/>
    </row>
    <row r="430" spans="13:16" ht="16.5" customHeight="1">
      <c r="M430" s="1"/>
      <c r="N430" s="1"/>
      <c r="O430" s="1"/>
      <c r="P430" s="1"/>
    </row>
    <row r="431" spans="13:16" ht="16.5" customHeight="1">
      <c r="M431" s="1"/>
      <c r="N431" s="1"/>
      <c r="O431" s="1"/>
      <c r="P431" s="1"/>
    </row>
    <row r="432" spans="13:16" ht="16.5" customHeight="1">
      <c r="M432" s="1"/>
      <c r="N432" s="1"/>
      <c r="O432" s="1"/>
      <c r="P432" s="1"/>
    </row>
    <row r="433" spans="13:16" ht="16.5" customHeight="1">
      <c r="M433" s="1"/>
      <c r="N433" s="1"/>
      <c r="O433" s="1"/>
      <c r="P433" s="1"/>
    </row>
    <row r="434" spans="13:16" ht="16.5" customHeight="1">
      <c r="M434" s="1"/>
      <c r="N434" s="1"/>
      <c r="O434" s="1"/>
      <c r="P434" s="1"/>
    </row>
    <row r="435" spans="13:16" ht="16.5" customHeight="1">
      <c r="M435" s="1"/>
      <c r="N435" s="1"/>
      <c r="O435" s="1"/>
      <c r="P435" s="1"/>
    </row>
    <row r="436" spans="13:16" ht="16.5" customHeight="1">
      <c r="M436" s="1"/>
      <c r="N436" s="1"/>
      <c r="O436" s="1"/>
      <c r="P436" s="1"/>
    </row>
    <row r="437" spans="13:16" ht="16.5" customHeight="1">
      <c r="M437" s="1"/>
      <c r="N437" s="1"/>
      <c r="O437" s="1"/>
      <c r="P437" s="1"/>
    </row>
    <row r="438" spans="13:16" ht="16.5" customHeight="1">
      <c r="M438" s="1"/>
      <c r="N438" s="1"/>
      <c r="O438" s="1"/>
      <c r="P438" s="1"/>
    </row>
    <row r="439" spans="13:16" ht="16.5" customHeight="1">
      <c r="M439" s="1"/>
      <c r="N439" s="1"/>
      <c r="O439" s="1"/>
      <c r="P439" s="1"/>
    </row>
    <row r="440" spans="13:16" ht="16.5" customHeight="1">
      <c r="M440" s="1"/>
      <c r="N440" s="1"/>
      <c r="O440" s="1"/>
      <c r="P440" s="1"/>
    </row>
    <row r="441" spans="13:16" ht="16.5" customHeight="1">
      <c r="M441" s="1"/>
      <c r="N441" s="1"/>
      <c r="O441" s="1"/>
      <c r="P441" s="1"/>
    </row>
    <row r="442" spans="13:16" ht="16.5" customHeight="1">
      <c r="M442" s="1"/>
      <c r="N442" s="1"/>
      <c r="O442" s="1"/>
      <c r="P442" s="1"/>
    </row>
    <row r="443" spans="13:16" ht="16.5" customHeight="1">
      <c r="M443" s="1"/>
      <c r="N443" s="1"/>
      <c r="O443" s="1"/>
      <c r="P443" s="1"/>
    </row>
    <row r="444" spans="13:16" ht="16.5" customHeight="1">
      <c r="M444" s="1"/>
      <c r="N444" s="1"/>
      <c r="O444" s="1"/>
      <c r="P444" s="1"/>
    </row>
    <row r="445" spans="13:16" ht="16.5" customHeight="1">
      <c r="M445" s="1"/>
      <c r="N445" s="1"/>
      <c r="O445" s="1"/>
      <c r="P445" s="1"/>
    </row>
    <row r="446" spans="13:16" ht="16.5" customHeight="1">
      <c r="M446" s="1"/>
      <c r="N446" s="1"/>
      <c r="O446" s="1"/>
      <c r="P446" s="1"/>
    </row>
    <row r="447" spans="13:16" ht="16.5" customHeight="1">
      <c r="M447" s="1"/>
      <c r="N447" s="1"/>
      <c r="O447" s="1"/>
      <c r="P447" s="1"/>
    </row>
    <row r="448" spans="13:16" ht="16.5" customHeight="1">
      <c r="M448" s="1"/>
      <c r="N448" s="1"/>
      <c r="O448" s="1"/>
      <c r="P448" s="1"/>
    </row>
    <row r="449" spans="13:16" ht="16.5" customHeight="1">
      <c r="M449" s="1"/>
      <c r="N449" s="1"/>
      <c r="O449" s="1"/>
      <c r="P449" s="1"/>
    </row>
    <row r="450" spans="13:16" ht="16.5" customHeight="1">
      <c r="M450" s="1"/>
      <c r="N450" s="1"/>
      <c r="O450" s="1"/>
      <c r="P450" s="1"/>
    </row>
    <row r="451" spans="13:16" ht="16.5" customHeight="1">
      <c r="M451" s="1"/>
      <c r="N451" s="1"/>
      <c r="O451" s="1"/>
      <c r="P451" s="1"/>
    </row>
    <row r="452" spans="13:16" ht="16.5" customHeight="1">
      <c r="M452" s="1"/>
      <c r="N452" s="1"/>
      <c r="O452" s="1"/>
      <c r="P452" s="1"/>
    </row>
    <row r="453" spans="13:16" ht="16.5" customHeight="1">
      <c r="M453" s="1"/>
      <c r="N453" s="1"/>
      <c r="O453" s="1"/>
      <c r="P453" s="1"/>
    </row>
    <row r="454" spans="13:16" ht="16.5" customHeight="1">
      <c r="M454" s="1"/>
      <c r="N454" s="1"/>
      <c r="O454" s="1"/>
      <c r="P454" s="1"/>
    </row>
    <row r="455" spans="13:16" ht="16.5" customHeight="1">
      <c r="M455" s="1"/>
      <c r="N455" s="1"/>
      <c r="O455" s="1"/>
      <c r="P455" s="1"/>
    </row>
    <row r="456" spans="13:16" ht="16.5" customHeight="1">
      <c r="M456" s="1"/>
      <c r="N456" s="1"/>
      <c r="O456" s="1"/>
      <c r="P456" s="1"/>
    </row>
    <row r="457" spans="13:16" ht="16.5" customHeight="1">
      <c r="M457" s="1"/>
      <c r="N457" s="1"/>
      <c r="O457" s="1"/>
      <c r="P457" s="1"/>
    </row>
    <row r="458" spans="13:16" ht="16.5" customHeight="1">
      <c r="M458" s="1"/>
      <c r="N458" s="1"/>
      <c r="O458" s="1"/>
      <c r="P458" s="1"/>
    </row>
    <row r="459" spans="13:16" ht="16.5" customHeight="1">
      <c r="M459" s="1"/>
      <c r="N459" s="1"/>
      <c r="O459" s="1"/>
      <c r="P459" s="1"/>
    </row>
    <row r="460" spans="13:16" ht="16.5" customHeight="1">
      <c r="M460" s="1"/>
      <c r="N460" s="1"/>
      <c r="O460" s="1"/>
      <c r="P460" s="1"/>
    </row>
    <row r="461" spans="13:16" ht="16.5" customHeight="1">
      <c r="M461" s="1"/>
      <c r="N461" s="1"/>
      <c r="O461" s="1"/>
      <c r="P461" s="1"/>
    </row>
    <row r="462" spans="13:16" ht="16.5" customHeight="1">
      <c r="M462" s="1"/>
      <c r="N462" s="1"/>
      <c r="O462" s="1"/>
      <c r="P462" s="1"/>
    </row>
    <row r="463" spans="13:16" ht="16.5" customHeight="1">
      <c r="M463" s="1"/>
      <c r="N463" s="1"/>
      <c r="O463" s="1"/>
      <c r="P463" s="1"/>
    </row>
    <row r="464" spans="13:16" ht="16.5" customHeight="1">
      <c r="M464" s="1"/>
      <c r="N464" s="1"/>
      <c r="O464" s="1"/>
      <c r="P464" s="1"/>
    </row>
    <row r="465" spans="13:16" ht="16.5" customHeight="1">
      <c r="M465" s="1"/>
      <c r="N465" s="1"/>
      <c r="O465" s="1"/>
      <c r="P465" s="1"/>
    </row>
    <row r="466" spans="13:16" ht="16.5" customHeight="1">
      <c r="M466" s="1"/>
      <c r="N466" s="1"/>
      <c r="O466" s="1"/>
      <c r="P466" s="1"/>
    </row>
    <row r="467" spans="13:16" ht="16.5" customHeight="1">
      <c r="M467" s="1"/>
      <c r="N467" s="1"/>
      <c r="O467" s="1"/>
      <c r="P467" s="1"/>
    </row>
    <row r="468" spans="13:16" ht="16.5" customHeight="1">
      <c r="M468" s="1"/>
      <c r="N468" s="1"/>
      <c r="O468" s="1"/>
      <c r="P468" s="1"/>
    </row>
    <row r="469" spans="13:16" ht="16.5" customHeight="1">
      <c r="M469" s="1"/>
      <c r="N469" s="1"/>
      <c r="O469" s="1"/>
      <c r="P469" s="1"/>
    </row>
    <row r="470" spans="13:16" ht="16.5" customHeight="1">
      <c r="M470" s="1"/>
      <c r="N470" s="1"/>
      <c r="O470" s="1"/>
      <c r="P470" s="1"/>
    </row>
    <row r="471" spans="13:16" ht="16.5" customHeight="1">
      <c r="M471" s="1"/>
      <c r="N471" s="1"/>
      <c r="O471" s="1"/>
      <c r="P471" s="1"/>
    </row>
    <row r="472" spans="13:16" ht="16.5" customHeight="1">
      <c r="M472" s="1"/>
      <c r="N472" s="1"/>
      <c r="O472" s="1"/>
      <c r="P472" s="1"/>
    </row>
    <row r="473" spans="13:16" ht="16.5" customHeight="1">
      <c r="M473" s="1"/>
      <c r="N473" s="1"/>
      <c r="O473" s="1"/>
      <c r="P473" s="1"/>
    </row>
    <row r="474" spans="13:16" ht="16.5" customHeight="1">
      <c r="M474" s="1"/>
      <c r="N474" s="1"/>
      <c r="O474" s="1"/>
      <c r="P474" s="1"/>
    </row>
    <row r="475" spans="13:16" ht="16.5" customHeight="1">
      <c r="M475" s="1"/>
      <c r="N475" s="1"/>
      <c r="O475" s="1"/>
      <c r="P475" s="1"/>
    </row>
    <row r="476" spans="13:16" ht="16.5" customHeight="1">
      <c r="M476" s="1"/>
      <c r="N476" s="1"/>
      <c r="O476" s="1"/>
      <c r="P476" s="1"/>
    </row>
    <row r="477" spans="13:16" ht="16.5" customHeight="1">
      <c r="M477" s="1"/>
      <c r="N477" s="1"/>
      <c r="O477" s="1"/>
      <c r="P477" s="1"/>
    </row>
    <row r="478" spans="13:16" ht="16.5" customHeight="1">
      <c r="M478" s="1"/>
      <c r="N478" s="1"/>
      <c r="O478" s="1"/>
      <c r="P478" s="1"/>
    </row>
    <row r="479" spans="13:16" ht="16.5" customHeight="1">
      <c r="M479" s="1"/>
      <c r="N479" s="1"/>
      <c r="O479" s="1"/>
      <c r="P479" s="1"/>
    </row>
    <row r="480" spans="13:16" ht="16.5" customHeight="1">
      <c r="M480" s="1"/>
      <c r="N480" s="1"/>
      <c r="O480" s="1"/>
      <c r="P480" s="1"/>
    </row>
    <row r="481" spans="13:16" ht="16.5" customHeight="1">
      <c r="M481" s="1"/>
      <c r="N481" s="1"/>
      <c r="O481" s="1"/>
      <c r="P481" s="1"/>
    </row>
    <row r="482" spans="13:16" ht="16.5" customHeight="1">
      <c r="M482" s="1"/>
      <c r="N482" s="1"/>
      <c r="O482" s="1"/>
      <c r="P482" s="1"/>
    </row>
    <row r="483" spans="13:16" ht="16.5" customHeight="1">
      <c r="M483" s="1"/>
      <c r="N483" s="1"/>
      <c r="O483" s="1"/>
      <c r="P483" s="1"/>
    </row>
    <row r="484" spans="13:16" ht="16.5" customHeight="1">
      <c r="M484" s="1"/>
      <c r="N484" s="1"/>
      <c r="O484" s="1"/>
      <c r="P484" s="1"/>
    </row>
    <row r="485" spans="13:16" ht="16.5" customHeight="1">
      <c r="M485" s="1"/>
      <c r="N485" s="1"/>
      <c r="O485" s="1"/>
      <c r="P485" s="1"/>
    </row>
    <row r="486" spans="13:16" ht="16.5" customHeight="1">
      <c r="M486" s="1"/>
      <c r="N486" s="1"/>
      <c r="O486" s="1"/>
      <c r="P486" s="1"/>
    </row>
    <row r="487" spans="13:16" ht="16.5" customHeight="1">
      <c r="M487" s="1"/>
      <c r="N487" s="1"/>
      <c r="O487" s="1"/>
      <c r="P487" s="1"/>
    </row>
    <row r="488" spans="13:16" ht="16.5" customHeight="1">
      <c r="M488" s="1"/>
      <c r="N488" s="1"/>
      <c r="O488" s="1"/>
      <c r="P488" s="1"/>
    </row>
    <row r="489" spans="13:16" ht="16.5" customHeight="1">
      <c r="M489" s="1"/>
      <c r="N489" s="1"/>
      <c r="O489" s="1"/>
      <c r="P489" s="1"/>
    </row>
    <row r="490" spans="13:16" ht="16.5" customHeight="1">
      <c r="M490" s="1"/>
      <c r="N490" s="1"/>
      <c r="O490" s="1"/>
      <c r="P490" s="1"/>
    </row>
    <row r="491" spans="13:16" ht="16.5" customHeight="1">
      <c r="M491" s="1"/>
      <c r="N491" s="1"/>
      <c r="O491" s="1"/>
      <c r="P491" s="1"/>
    </row>
    <row r="492" spans="13:16" ht="16.5" customHeight="1">
      <c r="M492" s="1"/>
      <c r="N492" s="1"/>
      <c r="O492" s="1"/>
      <c r="P492" s="1"/>
    </row>
    <row r="493" spans="13:16" ht="16.5" customHeight="1">
      <c r="M493" s="1"/>
      <c r="N493" s="1"/>
      <c r="O493" s="1"/>
      <c r="P493" s="1"/>
    </row>
    <row r="494" spans="13:16" ht="16.5" customHeight="1">
      <c r="M494" s="1"/>
      <c r="N494" s="1"/>
      <c r="O494" s="1"/>
      <c r="P494" s="1"/>
    </row>
    <row r="495" spans="13:16" ht="16.5" customHeight="1">
      <c r="M495" s="1"/>
      <c r="N495" s="1"/>
      <c r="O495" s="1"/>
      <c r="P495" s="1"/>
    </row>
    <row r="496" spans="13:16" ht="16.5" customHeight="1">
      <c r="M496" s="1"/>
      <c r="N496" s="1"/>
      <c r="O496" s="1"/>
      <c r="P496" s="1"/>
    </row>
    <row r="497" spans="13:16" ht="16.5" customHeight="1">
      <c r="M497" s="1"/>
      <c r="N497" s="1"/>
      <c r="O497" s="1"/>
      <c r="P497" s="1"/>
    </row>
    <row r="498" spans="13:16" ht="16.5" customHeight="1">
      <c r="M498" s="1"/>
      <c r="N498" s="1"/>
      <c r="O498" s="1"/>
      <c r="P498" s="1"/>
    </row>
    <row r="499" spans="13:16" ht="16.5" customHeight="1">
      <c r="M499" s="1"/>
      <c r="N499" s="1"/>
      <c r="O499" s="1"/>
      <c r="P499" s="1"/>
    </row>
    <row r="500" spans="13:16" ht="16.5" customHeight="1">
      <c r="M500" s="1"/>
      <c r="N500" s="1"/>
      <c r="O500" s="1"/>
      <c r="P500" s="1"/>
    </row>
    <row r="501" spans="13:16" ht="16.5" customHeight="1">
      <c r="M501" s="1"/>
      <c r="N501" s="1"/>
      <c r="O501" s="1"/>
      <c r="P501" s="1"/>
    </row>
    <row r="502" spans="13:16" ht="16.5" customHeight="1">
      <c r="M502" s="1"/>
      <c r="N502" s="1"/>
      <c r="O502" s="1"/>
      <c r="P502" s="1"/>
    </row>
    <row r="503" spans="13:16" ht="16.5" customHeight="1">
      <c r="M503" s="1"/>
      <c r="N503" s="1"/>
      <c r="O503" s="1"/>
      <c r="P503" s="1"/>
    </row>
    <row r="504" spans="13:16" ht="16.5" customHeight="1">
      <c r="M504" s="1"/>
      <c r="N504" s="1"/>
      <c r="O504" s="1"/>
      <c r="P504" s="1"/>
    </row>
    <row r="505" spans="13:16" ht="16.5" customHeight="1">
      <c r="M505" s="1"/>
      <c r="N505" s="1"/>
      <c r="O505" s="1"/>
      <c r="P505" s="1"/>
    </row>
    <row r="506" spans="13:16" ht="16.5" customHeight="1">
      <c r="M506" s="1"/>
      <c r="N506" s="1"/>
      <c r="O506" s="1"/>
      <c r="P506" s="1"/>
    </row>
    <row r="507" spans="13:16" ht="16.5" customHeight="1">
      <c r="M507" s="1"/>
      <c r="N507" s="1"/>
      <c r="O507" s="1"/>
      <c r="P507" s="1"/>
    </row>
    <row r="508" spans="13:16" ht="16.5" customHeight="1">
      <c r="M508" s="1"/>
      <c r="N508" s="1"/>
      <c r="O508" s="1"/>
      <c r="P508" s="1"/>
    </row>
    <row r="509" spans="13:16" ht="16.5" customHeight="1">
      <c r="M509" s="1"/>
      <c r="N509" s="1"/>
      <c r="O509" s="1"/>
      <c r="P509" s="1"/>
    </row>
    <row r="510" spans="13:16" ht="16.5" customHeight="1">
      <c r="M510" s="1"/>
      <c r="N510" s="1"/>
      <c r="O510" s="1"/>
      <c r="P510" s="1"/>
    </row>
    <row r="511" spans="13:16" ht="16.5" customHeight="1">
      <c r="M511" s="1"/>
      <c r="N511" s="1"/>
      <c r="O511" s="1"/>
      <c r="P511" s="1"/>
    </row>
    <row r="512" spans="13:16" ht="16.5" customHeight="1">
      <c r="M512" s="1"/>
      <c r="N512" s="1"/>
      <c r="O512" s="1"/>
      <c r="P512" s="1"/>
    </row>
    <row r="513" spans="13:16" ht="16.5" customHeight="1">
      <c r="M513" s="1"/>
      <c r="N513" s="1"/>
      <c r="O513" s="1"/>
      <c r="P513" s="1"/>
    </row>
    <row r="514" spans="13:16" ht="16.5" customHeight="1">
      <c r="M514" s="1"/>
      <c r="N514" s="1"/>
      <c r="O514" s="1"/>
      <c r="P514" s="1"/>
    </row>
    <row r="515" spans="13:16" ht="16.5" customHeight="1">
      <c r="M515" s="1"/>
      <c r="N515" s="1"/>
      <c r="O515" s="1"/>
      <c r="P515" s="1"/>
    </row>
    <row r="516" spans="13:16" ht="16.5" customHeight="1">
      <c r="M516" s="1"/>
      <c r="N516" s="1"/>
      <c r="O516" s="1"/>
      <c r="P516" s="1"/>
    </row>
    <row r="517" spans="13:16" ht="16.5" customHeight="1">
      <c r="M517" s="1"/>
      <c r="N517" s="1"/>
      <c r="O517" s="1"/>
      <c r="P517" s="1"/>
    </row>
    <row r="518" spans="13:16" ht="16.5" customHeight="1">
      <c r="M518" s="1"/>
      <c r="N518" s="1"/>
      <c r="O518" s="1"/>
      <c r="P518" s="1"/>
    </row>
    <row r="519" spans="13:16" ht="16.5" customHeight="1">
      <c r="M519" s="1"/>
      <c r="N519" s="1"/>
      <c r="O519" s="1"/>
      <c r="P519" s="1"/>
    </row>
    <row r="520" spans="13:16" ht="16.5" customHeight="1">
      <c r="M520" s="1"/>
      <c r="N520" s="1"/>
      <c r="O520" s="1"/>
      <c r="P520" s="1"/>
    </row>
    <row r="521" spans="13:16" ht="16.5" customHeight="1">
      <c r="M521" s="1"/>
      <c r="N521" s="1"/>
      <c r="O521" s="1"/>
      <c r="P521" s="1"/>
    </row>
    <row r="522" spans="13:16" ht="16.5" customHeight="1">
      <c r="M522" s="1"/>
      <c r="N522" s="1"/>
      <c r="O522" s="1"/>
      <c r="P522" s="1"/>
    </row>
    <row r="523" spans="13:16" ht="16.5" customHeight="1">
      <c r="M523" s="1"/>
      <c r="N523" s="1"/>
      <c r="O523" s="1"/>
      <c r="P523" s="1"/>
    </row>
    <row r="524" spans="13:16" ht="16.5" customHeight="1">
      <c r="M524" s="1"/>
      <c r="N524" s="1"/>
      <c r="O524" s="1"/>
      <c r="P524" s="1"/>
    </row>
    <row r="525" spans="13:16" ht="16.5" customHeight="1">
      <c r="M525" s="1"/>
      <c r="N525" s="1"/>
      <c r="O525" s="1"/>
      <c r="P525" s="1"/>
    </row>
    <row r="526" spans="13:16" ht="16.5" customHeight="1">
      <c r="M526" s="1"/>
      <c r="N526" s="1"/>
      <c r="O526" s="1"/>
      <c r="P526" s="1"/>
    </row>
    <row r="527" spans="13:16" ht="16.5" customHeight="1">
      <c r="M527" s="1"/>
      <c r="N527" s="1"/>
      <c r="O527" s="1"/>
      <c r="P527" s="1"/>
    </row>
    <row r="528" spans="13:16" ht="16.5" customHeight="1">
      <c r="M528" s="1"/>
      <c r="N528" s="1"/>
      <c r="O528" s="1"/>
      <c r="P528" s="1"/>
    </row>
    <row r="529" spans="13:16" ht="16.5" customHeight="1">
      <c r="M529" s="1"/>
      <c r="N529" s="1"/>
      <c r="O529" s="1"/>
      <c r="P529" s="1"/>
    </row>
    <row r="530" spans="13:16" ht="16.5" customHeight="1">
      <c r="M530" s="1"/>
      <c r="N530" s="1"/>
      <c r="O530" s="1"/>
      <c r="P530" s="1"/>
    </row>
    <row r="531" spans="13:16" ht="16.5" customHeight="1">
      <c r="M531" s="1"/>
      <c r="N531" s="1"/>
      <c r="O531" s="1"/>
      <c r="P531" s="1"/>
    </row>
    <row r="532" spans="13:16" ht="16.5" customHeight="1">
      <c r="M532" s="1"/>
      <c r="N532" s="1"/>
      <c r="O532" s="1"/>
      <c r="P532" s="1"/>
    </row>
    <row r="533" spans="13:16" ht="16.5" customHeight="1">
      <c r="M533" s="1"/>
      <c r="N533" s="1"/>
      <c r="O533" s="1"/>
      <c r="P533" s="1"/>
    </row>
    <row r="534" spans="13:16" ht="16.5" customHeight="1">
      <c r="M534" s="1"/>
      <c r="N534" s="1"/>
      <c r="O534" s="1"/>
      <c r="P534" s="1"/>
    </row>
    <row r="535" spans="13:16" ht="16.5" customHeight="1">
      <c r="M535" s="1"/>
      <c r="N535" s="1"/>
      <c r="O535" s="1"/>
      <c r="P535" s="1"/>
    </row>
    <row r="536" spans="13:16" ht="16.5" customHeight="1">
      <c r="M536" s="1"/>
      <c r="N536" s="1"/>
      <c r="O536" s="1"/>
      <c r="P536" s="1"/>
    </row>
    <row r="537" spans="13:16" ht="16.5" customHeight="1">
      <c r="M537" s="1"/>
      <c r="N537" s="1"/>
      <c r="O537" s="1"/>
      <c r="P537" s="1"/>
    </row>
    <row r="538" spans="13:16" ht="16.5" customHeight="1">
      <c r="M538" s="1"/>
      <c r="N538" s="1"/>
      <c r="O538" s="1"/>
      <c r="P538" s="1"/>
    </row>
    <row r="539" spans="13:16" ht="16.5" customHeight="1">
      <c r="M539" s="1"/>
      <c r="N539" s="1"/>
      <c r="O539" s="1"/>
      <c r="P539" s="1"/>
    </row>
    <row r="540" spans="13:16" ht="16.5" customHeight="1">
      <c r="M540" s="1"/>
      <c r="N540" s="1"/>
      <c r="O540" s="1"/>
      <c r="P540" s="1"/>
    </row>
    <row r="541" spans="13:16" ht="16.5" customHeight="1">
      <c r="M541" s="1"/>
      <c r="N541" s="1"/>
      <c r="O541" s="1"/>
      <c r="P541" s="1"/>
    </row>
    <row r="542" spans="13:16" ht="16.5" customHeight="1">
      <c r="M542" s="1"/>
      <c r="N542" s="1"/>
      <c r="O542" s="1"/>
      <c r="P542" s="1"/>
    </row>
    <row r="543" spans="13:16" ht="16.5" customHeight="1">
      <c r="M543" s="1"/>
      <c r="N543" s="1"/>
      <c r="O543" s="1"/>
      <c r="P543" s="1"/>
    </row>
    <row r="544" spans="13:16" ht="16.5" customHeight="1">
      <c r="M544" s="1"/>
      <c r="N544" s="1"/>
      <c r="O544" s="1"/>
      <c r="P544" s="1"/>
    </row>
    <row r="545" spans="13:16" ht="16.5" customHeight="1">
      <c r="M545" s="1"/>
      <c r="N545" s="1"/>
      <c r="O545" s="1"/>
      <c r="P545" s="1"/>
    </row>
    <row r="546" spans="13:16" ht="16.5" customHeight="1">
      <c r="M546" s="1"/>
      <c r="N546" s="1"/>
      <c r="O546" s="1"/>
      <c r="P546" s="1"/>
    </row>
    <row r="547" spans="13:16" ht="16.5" customHeight="1">
      <c r="M547" s="1"/>
      <c r="N547" s="1"/>
      <c r="O547" s="1"/>
      <c r="P547" s="1"/>
    </row>
    <row r="548" spans="13:16" ht="16.5" customHeight="1">
      <c r="M548" s="1"/>
      <c r="N548" s="1"/>
      <c r="O548" s="1"/>
      <c r="P548" s="1"/>
    </row>
    <row r="549" spans="13:16" ht="16.5" customHeight="1">
      <c r="M549" s="1"/>
      <c r="N549" s="1"/>
      <c r="O549" s="1"/>
      <c r="P549" s="1"/>
    </row>
    <row r="550" spans="13:16" ht="16.5" customHeight="1">
      <c r="M550" s="1"/>
      <c r="N550" s="1"/>
      <c r="O550" s="1"/>
      <c r="P550" s="1"/>
    </row>
    <row r="551" spans="13:16" ht="16.5" customHeight="1">
      <c r="M551" s="1"/>
      <c r="N551" s="1"/>
      <c r="O551" s="1"/>
      <c r="P551" s="1"/>
    </row>
    <row r="552" spans="13:16" ht="16.5" customHeight="1">
      <c r="M552" s="1"/>
      <c r="N552" s="1"/>
      <c r="O552" s="1"/>
      <c r="P552" s="1"/>
    </row>
    <row r="553" spans="13:16" ht="16.5" customHeight="1">
      <c r="M553" s="1"/>
      <c r="N553" s="1"/>
      <c r="O553" s="1"/>
      <c r="P553" s="1"/>
    </row>
    <row r="554" spans="13:16" ht="16.5" customHeight="1">
      <c r="M554" s="1"/>
      <c r="N554" s="1"/>
      <c r="O554" s="1"/>
      <c r="P554" s="1"/>
    </row>
    <row r="555" spans="13:16" ht="16.5" customHeight="1">
      <c r="M555" s="1"/>
      <c r="N555" s="1"/>
      <c r="O555" s="1"/>
      <c r="P555" s="1"/>
    </row>
    <row r="556" spans="13:16" ht="16.5" customHeight="1">
      <c r="M556" s="1"/>
      <c r="N556" s="1"/>
      <c r="O556" s="1"/>
      <c r="P556" s="1"/>
    </row>
    <row r="557" spans="13:16" ht="16.5" customHeight="1">
      <c r="M557" s="1"/>
      <c r="N557" s="1"/>
      <c r="O557" s="1"/>
      <c r="P557" s="1"/>
    </row>
    <row r="558" spans="13:16" ht="16.5" customHeight="1">
      <c r="M558" s="1"/>
      <c r="N558" s="1"/>
      <c r="O558" s="1"/>
      <c r="P558" s="1"/>
    </row>
    <row r="559" spans="13:16" ht="16.5" customHeight="1">
      <c r="M559" s="1"/>
      <c r="N559" s="1"/>
      <c r="O559" s="1"/>
      <c r="P559" s="1"/>
    </row>
    <row r="560" spans="13:16" ht="16.5" customHeight="1">
      <c r="M560" s="1"/>
      <c r="N560" s="1"/>
      <c r="O560" s="1"/>
      <c r="P560" s="1"/>
    </row>
    <row r="561" spans="13:16" ht="16.5" customHeight="1">
      <c r="M561" s="1"/>
      <c r="N561" s="1"/>
      <c r="O561" s="1"/>
      <c r="P561" s="1"/>
    </row>
    <row r="562" spans="13:16" ht="16.5" customHeight="1">
      <c r="M562" s="1"/>
      <c r="N562" s="1"/>
      <c r="O562" s="1"/>
      <c r="P562" s="1"/>
    </row>
    <row r="563" spans="13:16" ht="16.5" customHeight="1">
      <c r="M563" s="1"/>
      <c r="N563" s="1"/>
      <c r="O563" s="1"/>
      <c r="P563" s="1"/>
    </row>
    <row r="564" spans="13:16" ht="16.5" customHeight="1">
      <c r="M564" s="1"/>
      <c r="N564" s="1"/>
      <c r="O564" s="1"/>
      <c r="P564" s="1"/>
    </row>
    <row r="565" spans="13:16" ht="16.5" customHeight="1">
      <c r="M565" s="1"/>
      <c r="N565" s="1"/>
      <c r="O565" s="1"/>
      <c r="P565" s="1"/>
    </row>
    <row r="566" spans="13:16" ht="16.5" customHeight="1">
      <c r="M566" s="1"/>
      <c r="N566" s="1"/>
      <c r="O566" s="1"/>
      <c r="P566" s="1"/>
    </row>
    <row r="567" spans="13:16" ht="16.5" customHeight="1">
      <c r="M567" s="1"/>
      <c r="N567" s="1"/>
      <c r="O567" s="1"/>
      <c r="P567" s="1"/>
    </row>
    <row r="568" spans="13:16" ht="16.5" customHeight="1">
      <c r="M568" s="1"/>
      <c r="N568" s="1"/>
      <c r="O568" s="1"/>
      <c r="P568" s="1"/>
    </row>
    <row r="569" spans="13:16" ht="16.5" customHeight="1">
      <c r="M569" s="1"/>
      <c r="N569" s="1"/>
      <c r="O569" s="1"/>
      <c r="P569" s="1"/>
    </row>
    <row r="570" spans="13:16" ht="16.5" customHeight="1">
      <c r="M570" s="1"/>
      <c r="N570" s="1"/>
      <c r="O570" s="1"/>
      <c r="P570" s="1"/>
    </row>
    <row r="571" spans="13:16" ht="16.5" customHeight="1">
      <c r="M571" s="1"/>
      <c r="N571" s="1"/>
      <c r="O571" s="1"/>
      <c r="P571" s="1"/>
    </row>
    <row r="572" spans="13:16" ht="16.5" customHeight="1">
      <c r="M572" s="1"/>
      <c r="N572" s="1"/>
      <c r="O572" s="1"/>
      <c r="P572" s="1"/>
    </row>
    <row r="573" spans="13:16" ht="16.5" customHeight="1">
      <c r="M573" s="1"/>
      <c r="N573" s="1"/>
      <c r="O573" s="1"/>
      <c r="P573" s="1"/>
    </row>
    <row r="574" spans="13:16" ht="16.5" customHeight="1">
      <c r="M574" s="1"/>
      <c r="N574" s="1"/>
      <c r="O574" s="1"/>
      <c r="P574" s="1"/>
    </row>
    <row r="575" spans="13:16" ht="16.5" customHeight="1">
      <c r="M575" s="1"/>
      <c r="N575" s="1"/>
      <c r="O575" s="1"/>
      <c r="P575" s="1"/>
    </row>
    <row r="576" spans="13:16" ht="16.5" customHeight="1">
      <c r="M576" s="1"/>
      <c r="N576" s="1"/>
      <c r="O576" s="1"/>
      <c r="P576" s="1"/>
    </row>
    <row r="577" spans="13:16" ht="16.5" customHeight="1">
      <c r="M577" s="1"/>
      <c r="N577" s="1"/>
      <c r="O577" s="1"/>
      <c r="P577" s="1"/>
    </row>
    <row r="578" spans="13:16" ht="16.5" customHeight="1">
      <c r="M578" s="1"/>
      <c r="N578" s="1"/>
      <c r="O578" s="1"/>
      <c r="P578" s="1"/>
    </row>
    <row r="579" spans="13:16" ht="16.5" customHeight="1">
      <c r="M579" s="1"/>
      <c r="N579" s="1"/>
      <c r="O579" s="1"/>
      <c r="P579" s="1"/>
    </row>
    <row r="580" spans="13:16" ht="16.5" customHeight="1">
      <c r="M580" s="1"/>
      <c r="N580" s="1"/>
      <c r="O580" s="1"/>
      <c r="P580" s="1"/>
    </row>
    <row r="581" spans="13:16" ht="16.5" customHeight="1">
      <c r="M581" s="1"/>
      <c r="N581" s="1"/>
      <c r="O581" s="1"/>
      <c r="P581" s="1"/>
    </row>
    <row r="582" spans="13:16" ht="16.5" customHeight="1">
      <c r="M582" s="1"/>
      <c r="N582" s="1"/>
      <c r="O582" s="1"/>
      <c r="P582" s="1"/>
    </row>
    <row r="583" spans="13:16" ht="16.5" customHeight="1">
      <c r="M583" s="1"/>
      <c r="N583" s="1"/>
      <c r="O583" s="1"/>
      <c r="P583" s="1"/>
    </row>
    <row r="584" spans="13:16" ht="16.5" customHeight="1">
      <c r="M584" s="1"/>
      <c r="N584" s="1"/>
      <c r="O584" s="1"/>
      <c r="P584" s="1"/>
    </row>
    <row r="585" spans="13:16" ht="16.5" customHeight="1">
      <c r="M585" s="1"/>
      <c r="N585" s="1"/>
      <c r="O585" s="1"/>
      <c r="P585" s="1"/>
    </row>
    <row r="586" spans="13:16" ht="16.5" customHeight="1">
      <c r="M586" s="1"/>
      <c r="N586" s="1"/>
      <c r="O586" s="1"/>
      <c r="P586" s="1"/>
    </row>
    <row r="587" spans="13:16" ht="16.5" customHeight="1">
      <c r="M587" s="1"/>
      <c r="N587" s="1"/>
      <c r="O587" s="1"/>
      <c r="P587" s="1"/>
    </row>
    <row r="588" spans="13:16" ht="16.5" customHeight="1">
      <c r="M588" s="1"/>
      <c r="N588" s="1"/>
      <c r="O588" s="1"/>
      <c r="P588" s="1"/>
    </row>
    <row r="589" spans="13:16" ht="16.5" customHeight="1">
      <c r="M589" s="1"/>
      <c r="N589" s="1"/>
      <c r="O589" s="1"/>
      <c r="P589" s="1"/>
    </row>
    <row r="590" spans="13:16" ht="16.5" customHeight="1">
      <c r="M590" s="1"/>
      <c r="N590" s="1"/>
      <c r="O590" s="1"/>
      <c r="P590" s="1"/>
    </row>
    <row r="591" spans="13:16" ht="16.5" customHeight="1">
      <c r="M591" s="1"/>
      <c r="N591" s="1"/>
      <c r="O591" s="1"/>
      <c r="P591" s="1"/>
    </row>
    <row r="592" spans="13:16" ht="16.5" customHeight="1">
      <c r="M592" s="1"/>
      <c r="N592" s="1"/>
      <c r="O592" s="1"/>
      <c r="P592" s="1"/>
    </row>
    <row r="593" spans="13:16" ht="16.5" customHeight="1">
      <c r="M593" s="1"/>
      <c r="N593" s="1"/>
      <c r="O593" s="1"/>
      <c r="P593" s="1"/>
    </row>
    <row r="594" spans="13:16" ht="16.5" customHeight="1">
      <c r="M594" s="1"/>
      <c r="N594" s="1"/>
      <c r="O594" s="1"/>
      <c r="P594" s="1"/>
    </row>
    <row r="595" spans="13:16" ht="16.5" customHeight="1">
      <c r="M595" s="1"/>
      <c r="N595" s="1"/>
      <c r="O595" s="1"/>
      <c r="P595" s="1"/>
    </row>
    <row r="596" spans="13:16" ht="16.5" customHeight="1">
      <c r="M596" s="1"/>
      <c r="N596" s="1"/>
      <c r="O596" s="1"/>
      <c r="P596" s="1"/>
    </row>
    <row r="597" spans="13:16" ht="16.5" customHeight="1">
      <c r="M597" s="1"/>
      <c r="N597" s="1"/>
      <c r="O597" s="1"/>
      <c r="P597" s="1"/>
    </row>
    <row r="598" spans="13:16" ht="16.5" customHeight="1">
      <c r="M598" s="1"/>
      <c r="N598" s="1"/>
      <c r="O598" s="1"/>
      <c r="P598" s="1"/>
    </row>
    <row r="599" spans="13:16" ht="16.5" customHeight="1">
      <c r="M599" s="1"/>
      <c r="N599" s="1"/>
      <c r="O599" s="1"/>
      <c r="P599" s="1"/>
    </row>
    <row r="600" spans="13:16" ht="16.5" customHeight="1">
      <c r="M600" s="1"/>
      <c r="N600" s="1"/>
      <c r="O600" s="1"/>
      <c r="P600" s="1"/>
    </row>
    <row r="601" spans="13:16" ht="16.5" customHeight="1">
      <c r="M601" s="1"/>
      <c r="N601" s="1"/>
      <c r="O601" s="1"/>
      <c r="P601" s="1"/>
    </row>
    <row r="602" spans="13:16" ht="16.5" customHeight="1">
      <c r="M602" s="1"/>
      <c r="N602" s="1"/>
      <c r="O602" s="1"/>
      <c r="P602" s="1"/>
    </row>
    <row r="603" spans="13:16" ht="16.5" customHeight="1">
      <c r="M603" s="1"/>
      <c r="N603" s="1"/>
      <c r="O603" s="1"/>
      <c r="P603" s="1"/>
    </row>
    <row r="604" spans="13:16" ht="16.5" customHeight="1">
      <c r="M604" s="1"/>
      <c r="N604" s="1"/>
      <c r="O604" s="1"/>
      <c r="P604" s="1"/>
    </row>
    <row r="605" spans="13:16" ht="16.5" customHeight="1">
      <c r="M605" s="1"/>
      <c r="N605" s="1"/>
      <c r="O605" s="1"/>
      <c r="P605" s="1"/>
    </row>
    <row r="606" spans="13:16" ht="16.5" customHeight="1">
      <c r="M606" s="1"/>
      <c r="N606" s="1"/>
      <c r="O606" s="1"/>
      <c r="P606" s="1"/>
    </row>
    <row r="607" spans="13:16" ht="16.5" customHeight="1">
      <c r="M607" s="1"/>
      <c r="N607" s="1"/>
      <c r="O607" s="1"/>
      <c r="P607" s="1"/>
    </row>
    <row r="608" spans="13:16" ht="16.5" customHeight="1">
      <c r="M608" s="1"/>
      <c r="N608" s="1"/>
      <c r="O608" s="1"/>
      <c r="P608" s="1"/>
    </row>
    <row r="609" spans="13:16" ht="16.5" customHeight="1">
      <c r="M609" s="1"/>
      <c r="N609" s="1"/>
      <c r="O609" s="1"/>
      <c r="P609" s="1"/>
    </row>
    <row r="610" spans="13:16" ht="16.5" customHeight="1">
      <c r="M610" s="1"/>
      <c r="N610" s="1"/>
      <c r="O610" s="1"/>
      <c r="P610" s="1"/>
    </row>
    <row r="611" spans="13:16" ht="16.5" customHeight="1">
      <c r="M611" s="1"/>
      <c r="N611" s="1"/>
      <c r="O611" s="1"/>
      <c r="P611" s="1"/>
    </row>
    <row r="612" spans="13:16" ht="16.5" customHeight="1">
      <c r="M612" s="1"/>
      <c r="N612" s="1"/>
      <c r="O612" s="1"/>
      <c r="P612" s="1"/>
    </row>
    <row r="613" spans="13:16" ht="16.5" customHeight="1">
      <c r="M613" s="1"/>
      <c r="N613" s="1"/>
      <c r="O613" s="1"/>
      <c r="P613" s="1"/>
    </row>
    <row r="614" spans="13:16" ht="16.5" customHeight="1">
      <c r="M614" s="1"/>
      <c r="N614" s="1"/>
      <c r="O614" s="1"/>
      <c r="P614" s="1"/>
    </row>
    <row r="615" spans="13:16" ht="16.5" customHeight="1">
      <c r="M615" s="1"/>
      <c r="N615" s="1"/>
      <c r="O615" s="1"/>
      <c r="P615" s="1"/>
    </row>
    <row r="616" spans="13:16" ht="16.5" customHeight="1">
      <c r="M616" s="1"/>
      <c r="N616" s="1"/>
      <c r="O616" s="1"/>
      <c r="P616" s="1"/>
    </row>
    <row r="617" spans="13:16" ht="16.5" customHeight="1">
      <c r="M617" s="1"/>
      <c r="N617" s="1"/>
      <c r="O617" s="1"/>
      <c r="P617" s="1"/>
    </row>
    <row r="618" spans="13:16" ht="16.5" customHeight="1">
      <c r="M618" s="1"/>
      <c r="N618" s="1"/>
      <c r="O618" s="1"/>
      <c r="P618" s="1"/>
    </row>
    <row r="619" spans="13:16" ht="16.5" customHeight="1">
      <c r="M619" s="1"/>
      <c r="N619" s="1"/>
      <c r="O619" s="1"/>
      <c r="P619" s="1"/>
    </row>
    <row r="620" spans="13:16" ht="16.5" customHeight="1">
      <c r="M620" s="1"/>
      <c r="N620" s="1"/>
      <c r="O620" s="1"/>
      <c r="P620" s="1"/>
    </row>
    <row r="621" spans="13:16" ht="16.5" customHeight="1">
      <c r="M621" s="1"/>
      <c r="N621" s="1"/>
      <c r="O621" s="1"/>
      <c r="P621" s="1"/>
    </row>
    <row r="622" spans="13:16" ht="16.5" customHeight="1">
      <c r="M622" s="1"/>
      <c r="N622" s="1"/>
      <c r="O622" s="1"/>
      <c r="P622" s="1"/>
    </row>
    <row r="623" spans="13:16" ht="16.5" customHeight="1">
      <c r="M623" s="1"/>
      <c r="N623" s="1"/>
      <c r="O623" s="1"/>
      <c r="P623" s="1"/>
    </row>
    <row r="624" spans="13:16" ht="16.5" customHeight="1">
      <c r="M624" s="1"/>
      <c r="N624" s="1"/>
      <c r="O624" s="1"/>
      <c r="P624" s="1"/>
    </row>
    <row r="625" spans="13:16" ht="16.5" customHeight="1">
      <c r="M625" s="1"/>
      <c r="N625" s="1"/>
      <c r="O625" s="1"/>
      <c r="P625" s="1"/>
    </row>
    <row r="626" spans="13:16" ht="16.5" customHeight="1">
      <c r="M626" s="1"/>
      <c r="N626" s="1"/>
      <c r="O626" s="1"/>
      <c r="P626" s="1"/>
    </row>
    <row r="627" spans="13:16" ht="16.5" customHeight="1">
      <c r="M627" s="1"/>
      <c r="N627" s="1"/>
      <c r="O627" s="1"/>
      <c r="P627" s="1"/>
    </row>
    <row r="628" spans="13:16" ht="16.5" customHeight="1">
      <c r="M628" s="1"/>
      <c r="N628" s="1"/>
      <c r="O628" s="1"/>
      <c r="P628" s="1"/>
    </row>
    <row r="629" spans="13:16" ht="16.5" customHeight="1">
      <c r="M629" s="1"/>
      <c r="N629" s="1"/>
      <c r="O629" s="1"/>
      <c r="P629" s="1"/>
    </row>
    <row r="630" spans="13:16" ht="16.5" customHeight="1">
      <c r="M630" s="1"/>
      <c r="N630" s="1"/>
      <c r="O630" s="1"/>
      <c r="P630" s="1"/>
    </row>
    <row r="631" spans="13:16" ht="16.5" customHeight="1">
      <c r="M631" s="1"/>
      <c r="N631" s="1"/>
      <c r="O631" s="1"/>
      <c r="P631" s="1"/>
    </row>
    <row r="632" spans="13:16" ht="16.5" customHeight="1">
      <c r="M632" s="1"/>
      <c r="N632" s="1"/>
      <c r="O632" s="1"/>
      <c r="P632" s="1"/>
    </row>
    <row r="633" spans="13:16" ht="16.5" customHeight="1">
      <c r="M633" s="1"/>
      <c r="N633" s="1"/>
      <c r="O633" s="1"/>
      <c r="P633" s="1"/>
    </row>
    <row r="634" spans="13:16" ht="16.5" customHeight="1">
      <c r="M634" s="1"/>
      <c r="N634" s="1"/>
      <c r="O634" s="1"/>
      <c r="P634" s="1"/>
    </row>
    <row r="635" spans="13:16" ht="16.5" customHeight="1">
      <c r="M635" s="1"/>
      <c r="N635" s="1"/>
      <c r="O635" s="1"/>
      <c r="P635" s="1"/>
    </row>
    <row r="636" spans="13:16" ht="16.5" customHeight="1">
      <c r="M636" s="1"/>
      <c r="N636" s="1"/>
      <c r="O636" s="1"/>
      <c r="P636" s="1"/>
    </row>
    <row r="637" spans="13:16" ht="16.5" customHeight="1">
      <c r="M637" s="1"/>
      <c r="N637" s="1"/>
      <c r="O637" s="1"/>
      <c r="P637" s="1"/>
    </row>
    <row r="638" spans="13:16" ht="16.5" customHeight="1">
      <c r="M638" s="1"/>
      <c r="N638" s="1"/>
      <c r="O638" s="1"/>
      <c r="P638" s="1"/>
    </row>
    <row r="639" spans="13:16" ht="16.5" customHeight="1">
      <c r="M639" s="1"/>
      <c r="N639" s="1"/>
      <c r="O639" s="1"/>
      <c r="P639" s="1"/>
    </row>
    <row r="640" spans="13:16" ht="16.5" customHeight="1">
      <c r="M640" s="1"/>
      <c r="N640" s="1"/>
      <c r="O640" s="1"/>
      <c r="P640" s="1"/>
    </row>
    <row r="641" spans="13:16" ht="16.5" customHeight="1">
      <c r="M641" s="1"/>
      <c r="N641" s="1"/>
      <c r="O641" s="1"/>
      <c r="P641" s="1"/>
    </row>
    <row r="642" spans="13:16" ht="16.5" customHeight="1">
      <c r="M642" s="1"/>
      <c r="N642" s="1"/>
      <c r="O642" s="1"/>
      <c r="P642" s="1"/>
    </row>
    <row r="643" spans="13:16" ht="16.5" customHeight="1">
      <c r="M643" s="1"/>
      <c r="N643" s="1"/>
      <c r="O643" s="1"/>
      <c r="P643" s="1"/>
    </row>
    <row r="644" spans="13:16" ht="16.5" customHeight="1">
      <c r="M644" s="1"/>
      <c r="N644" s="1"/>
      <c r="O644" s="1"/>
      <c r="P644" s="1"/>
    </row>
    <row r="645" spans="13:16" ht="16.5" customHeight="1">
      <c r="M645" s="1"/>
      <c r="N645" s="1"/>
      <c r="O645" s="1"/>
      <c r="P645" s="1"/>
    </row>
    <row r="646" spans="13:16" ht="16.5" customHeight="1">
      <c r="M646" s="1"/>
      <c r="N646" s="1"/>
      <c r="O646" s="1"/>
      <c r="P646" s="1"/>
    </row>
    <row r="647" spans="13:16" ht="16.5" customHeight="1">
      <c r="M647" s="1"/>
      <c r="N647" s="1"/>
      <c r="O647" s="1"/>
      <c r="P647" s="1"/>
    </row>
    <row r="648" spans="13:16" ht="16.5" customHeight="1">
      <c r="M648" s="1"/>
      <c r="N648" s="1"/>
      <c r="O648" s="1"/>
      <c r="P648" s="1"/>
    </row>
    <row r="649" spans="13:16" ht="16.5" customHeight="1">
      <c r="M649" s="1"/>
      <c r="N649" s="1"/>
      <c r="O649" s="1"/>
      <c r="P649" s="1"/>
    </row>
    <row r="650" spans="13:16" ht="16.5" customHeight="1">
      <c r="M650" s="1"/>
      <c r="N650" s="1"/>
      <c r="O650" s="1"/>
      <c r="P650" s="1"/>
    </row>
    <row r="651" spans="13:16" ht="16.5" customHeight="1">
      <c r="M651" s="1"/>
      <c r="N651" s="1"/>
      <c r="O651" s="1"/>
      <c r="P651" s="1"/>
    </row>
    <row r="652" spans="13:16" ht="16.5" customHeight="1">
      <c r="M652" s="1"/>
      <c r="N652" s="1"/>
      <c r="O652" s="1"/>
      <c r="P652" s="1"/>
    </row>
    <row r="653" spans="13:16" ht="16.5" customHeight="1">
      <c r="M653" s="1"/>
      <c r="N653" s="1"/>
      <c r="O653" s="1"/>
      <c r="P653" s="1"/>
    </row>
    <row r="654" spans="13:16" ht="16.5" customHeight="1">
      <c r="M654" s="1"/>
      <c r="N654" s="1"/>
      <c r="O654" s="1"/>
      <c r="P654" s="1"/>
    </row>
    <row r="655" spans="13:16" ht="16.5" customHeight="1">
      <c r="M655" s="1"/>
      <c r="N655" s="1"/>
      <c r="O655" s="1"/>
      <c r="P655" s="1"/>
    </row>
    <row r="656" spans="13:16" ht="16.5" customHeight="1">
      <c r="M656" s="1"/>
      <c r="N656" s="1"/>
      <c r="O656" s="1"/>
      <c r="P656" s="1"/>
    </row>
    <row r="657" spans="13:16" ht="16.5" customHeight="1">
      <c r="M657" s="1"/>
      <c r="N657" s="1"/>
      <c r="O657" s="1"/>
      <c r="P657" s="1"/>
    </row>
    <row r="658" spans="13:16" ht="16.5" customHeight="1">
      <c r="M658" s="1"/>
      <c r="N658" s="1"/>
      <c r="O658" s="1"/>
      <c r="P658" s="1"/>
    </row>
    <row r="659" spans="13:16" ht="16.5" customHeight="1">
      <c r="M659" s="1"/>
      <c r="N659" s="1"/>
      <c r="O659" s="1"/>
      <c r="P659" s="1"/>
    </row>
    <row r="660" spans="13:16" ht="16.5" customHeight="1">
      <c r="M660" s="1"/>
      <c r="N660" s="1"/>
      <c r="O660" s="1"/>
      <c r="P660" s="1"/>
    </row>
    <row r="661" spans="13:16" ht="16.5" customHeight="1">
      <c r="M661" s="1"/>
      <c r="N661" s="1"/>
      <c r="O661" s="1"/>
      <c r="P661" s="1"/>
    </row>
    <row r="662" spans="13:16" ht="16.5" customHeight="1">
      <c r="M662" s="1"/>
      <c r="N662" s="1"/>
      <c r="O662" s="1"/>
      <c r="P662" s="1"/>
    </row>
    <row r="663" spans="13:16" ht="16.5" customHeight="1">
      <c r="M663" s="1"/>
      <c r="N663" s="1"/>
      <c r="O663" s="1"/>
      <c r="P663" s="1"/>
    </row>
    <row r="664" spans="13:16" ht="16.5" customHeight="1">
      <c r="M664" s="1"/>
      <c r="N664" s="1"/>
      <c r="O664" s="1"/>
      <c r="P664" s="1"/>
    </row>
    <row r="665" spans="13:16" ht="16.5" customHeight="1">
      <c r="M665" s="1"/>
      <c r="N665" s="1"/>
      <c r="O665" s="1"/>
      <c r="P665" s="1"/>
    </row>
    <row r="666" spans="13:16" ht="16.5" customHeight="1">
      <c r="M666" s="1"/>
      <c r="N666" s="1"/>
      <c r="O666" s="1"/>
      <c r="P666" s="1"/>
    </row>
    <row r="667" spans="13:16" ht="16.5" customHeight="1">
      <c r="M667" s="1"/>
      <c r="N667" s="1"/>
      <c r="O667" s="1"/>
      <c r="P667" s="1"/>
    </row>
    <row r="668" spans="13:16" ht="16.5" customHeight="1">
      <c r="M668" s="1"/>
      <c r="N668" s="1"/>
      <c r="O668" s="1"/>
      <c r="P668" s="1"/>
    </row>
    <row r="669" spans="13:16" ht="16.5" customHeight="1">
      <c r="M669" s="1"/>
      <c r="N669" s="1"/>
      <c r="O669" s="1"/>
      <c r="P669" s="1"/>
    </row>
    <row r="670" spans="13:16" ht="16.5" customHeight="1">
      <c r="M670" s="1"/>
      <c r="N670" s="1"/>
      <c r="O670" s="1"/>
      <c r="P670" s="1"/>
    </row>
    <row r="671" spans="13:16" ht="16.5" customHeight="1">
      <c r="M671" s="1"/>
      <c r="N671" s="1"/>
      <c r="O671" s="1"/>
      <c r="P671" s="1"/>
    </row>
    <row r="672" spans="13:16" ht="16.5" customHeight="1">
      <c r="M672" s="1"/>
      <c r="N672" s="1"/>
      <c r="O672" s="1"/>
      <c r="P672" s="1"/>
    </row>
    <row r="673" spans="13:16" ht="16.5" customHeight="1">
      <c r="M673" s="1"/>
      <c r="N673" s="1"/>
      <c r="O673" s="1"/>
      <c r="P673" s="1"/>
    </row>
    <row r="674" spans="13:16" ht="16.5" customHeight="1">
      <c r="M674" s="1"/>
      <c r="N674" s="1"/>
      <c r="O674" s="1"/>
      <c r="P674" s="1"/>
    </row>
    <row r="675" spans="13:16" ht="16.5" customHeight="1">
      <c r="M675" s="1"/>
      <c r="N675" s="1"/>
      <c r="O675" s="1"/>
      <c r="P675" s="1"/>
    </row>
    <row r="676" spans="13:16" ht="16.5" customHeight="1">
      <c r="M676" s="1"/>
      <c r="N676" s="1"/>
      <c r="O676" s="1"/>
      <c r="P676" s="1"/>
    </row>
    <row r="677" spans="13:16" ht="16.5" customHeight="1">
      <c r="M677" s="1"/>
      <c r="N677" s="1"/>
      <c r="O677" s="1"/>
      <c r="P677" s="1"/>
    </row>
    <row r="678" spans="13:16" ht="16.5" customHeight="1">
      <c r="M678" s="1"/>
      <c r="N678" s="1"/>
      <c r="O678" s="1"/>
      <c r="P678" s="1"/>
    </row>
    <row r="679" spans="13:16" ht="16.5" customHeight="1">
      <c r="M679" s="1"/>
      <c r="N679" s="1"/>
      <c r="O679" s="1"/>
      <c r="P679" s="1"/>
    </row>
    <row r="680" spans="13:16" ht="16.5" customHeight="1">
      <c r="M680" s="1"/>
      <c r="N680" s="1"/>
      <c r="O680" s="1"/>
      <c r="P680" s="1"/>
    </row>
    <row r="681" spans="13:16" ht="16.5" customHeight="1">
      <c r="M681" s="1"/>
      <c r="N681" s="1"/>
      <c r="O681" s="1"/>
      <c r="P681" s="1"/>
    </row>
    <row r="682" spans="13:16" ht="16.5" customHeight="1">
      <c r="M682" s="1"/>
      <c r="N682" s="1"/>
      <c r="O682" s="1"/>
      <c r="P682" s="1"/>
    </row>
    <row r="683" spans="13:16" ht="16.5" customHeight="1">
      <c r="M683" s="1"/>
      <c r="N683" s="1"/>
      <c r="O683" s="1"/>
      <c r="P683" s="1"/>
    </row>
    <row r="684" spans="13:16" ht="16.5" customHeight="1">
      <c r="M684" s="1"/>
      <c r="N684" s="1"/>
      <c r="O684" s="1"/>
      <c r="P684" s="1"/>
    </row>
    <row r="685" spans="13:16" ht="16.5" customHeight="1">
      <c r="M685" s="1"/>
      <c r="N685" s="1"/>
      <c r="O685" s="1"/>
      <c r="P685" s="1"/>
    </row>
    <row r="686" spans="13:16" ht="16.5" customHeight="1">
      <c r="M686" s="1"/>
      <c r="N686" s="1"/>
      <c r="O686" s="1"/>
      <c r="P686" s="1"/>
    </row>
    <row r="687" spans="13:16" ht="16.5" customHeight="1">
      <c r="M687" s="1"/>
      <c r="N687" s="1"/>
      <c r="O687" s="1"/>
      <c r="P687" s="1"/>
    </row>
    <row r="688" spans="13:16" ht="16.5" customHeight="1">
      <c r="M688" s="1"/>
      <c r="N688" s="1"/>
      <c r="O688" s="1"/>
      <c r="P688" s="1"/>
    </row>
    <row r="689" spans="13:16" ht="16.5" customHeight="1">
      <c r="M689" s="1"/>
      <c r="N689" s="1"/>
      <c r="O689" s="1"/>
      <c r="P689" s="1"/>
    </row>
    <row r="690" spans="13:16" ht="16.5" customHeight="1">
      <c r="M690" s="1"/>
      <c r="N690" s="1"/>
      <c r="O690" s="1"/>
      <c r="P690" s="1"/>
    </row>
    <row r="691" spans="13:16" ht="16.5" customHeight="1">
      <c r="M691" s="1"/>
      <c r="N691" s="1"/>
      <c r="O691" s="1"/>
      <c r="P691" s="1"/>
    </row>
    <row r="692" spans="13:16" ht="16.5" customHeight="1">
      <c r="M692" s="1"/>
      <c r="N692" s="1"/>
      <c r="O692" s="1"/>
      <c r="P692" s="1"/>
    </row>
    <row r="693" spans="13:16" ht="16.5" customHeight="1">
      <c r="M693" s="1"/>
      <c r="N693" s="1"/>
      <c r="O693" s="1"/>
      <c r="P693" s="1"/>
    </row>
    <row r="694" spans="13:16" ht="16.5" customHeight="1">
      <c r="M694" s="1"/>
      <c r="N694" s="1"/>
      <c r="O694" s="1"/>
      <c r="P694" s="1"/>
    </row>
    <row r="695" spans="13:16" ht="16.5" customHeight="1">
      <c r="M695" s="1"/>
      <c r="N695" s="1"/>
      <c r="O695" s="1"/>
      <c r="P695" s="1"/>
    </row>
    <row r="696" spans="13:16" ht="16.5" customHeight="1">
      <c r="M696" s="1"/>
      <c r="N696" s="1"/>
      <c r="O696" s="1"/>
      <c r="P696" s="1"/>
    </row>
    <row r="697" spans="13:16" ht="16.5" customHeight="1">
      <c r="M697" s="1"/>
      <c r="N697" s="1"/>
      <c r="O697" s="1"/>
      <c r="P697" s="1"/>
    </row>
    <row r="698" spans="13:16" ht="16.5" customHeight="1">
      <c r="M698" s="1"/>
      <c r="N698" s="1"/>
      <c r="O698" s="1"/>
      <c r="P698" s="1"/>
    </row>
    <row r="699" spans="13:16" ht="16.5" customHeight="1">
      <c r="M699" s="1"/>
      <c r="N699" s="1"/>
      <c r="O699" s="1"/>
      <c r="P699" s="1"/>
    </row>
    <row r="700" spans="13:16" ht="16.5" customHeight="1">
      <c r="M700" s="1"/>
      <c r="N700" s="1"/>
      <c r="O700" s="1"/>
      <c r="P700" s="1"/>
    </row>
    <row r="701" spans="13:16" ht="16.5" customHeight="1">
      <c r="M701" s="1"/>
      <c r="N701" s="1"/>
      <c r="O701" s="1"/>
      <c r="P701" s="1"/>
    </row>
    <row r="702" spans="13:16" ht="16.5" customHeight="1">
      <c r="M702" s="1"/>
      <c r="N702" s="1"/>
      <c r="O702" s="1"/>
      <c r="P702" s="1"/>
    </row>
    <row r="703" spans="13:16" ht="16.5" customHeight="1">
      <c r="M703" s="1"/>
      <c r="N703" s="1"/>
      <c r="O703" s="1"/>
      <c r="P703" s="1"/>
    </row>
    <row r="704" spans="13:16" ht="16.5" customHeight="1">
      <c r="M704" s="1"/>
      <c r="N704" s="1"/>
      <c r="O704" s="1"/>
      <c r="P704" s="1"/>
    </row>
    <row r="705" spans="13:16" ht="16.5" customHeight="1">
      <c r="M705" s="1"/>
      <c r="N705" s="1"/>
      <c r="O705" s="1"/>
      <c r="P705" s="1"/>
    </row>
    <row r="706" spans="13:16" ht="16.5" customHeight="1">
      <c r="M706" s="1"/>
      <c r="N706" s="1"/>
      <c r="O706" s="1"/>
      <c r="P706" s="1"/>
    </row>
    <row r="707" spans="13:16" ht="16.5" customHeight="1">
      <c r="M707" s="1"/>
      <c r="N707" s="1"/>
      <c r="O707" s="1"/>
      <c r="P707" s="1"/>
    </row>
    <row r="708" spans="13:16" ht="16.5" customHeight="1">
      <c r="M708" s="1"/>
      <c r="N708" s="1"/>
      <c r="O708" s="1"/>
      <c r="P708" s="1"/>
    </row>
    <row r="709" spans="13:16" ht="16.5" customHeight="1">
      <c r="M709" s="1"/>
      <c r="N709" s="1"/>
      <c r="O709" s="1"/>
      <c r="P709" s="1"/>
    </row>
    <row r="710" spans="13:16" ht="16.5" customHeight="1">
      <c r="M710" s="1"/>
      <c r="N710" s="1"/>
      <c r="O710" s="1"/>
      <c r="P710" s="1"/>
    </row>
    <row r="711" spans="13:16" ht="16.5" customHeight="1">
      <c r="M711" s="1"/>
      <c r="N711" s="1"/>
      <c r="O711" s="1"/>
      <c r="P711" s="1"/>
    </row>
    <row r="712" spans="13:16" ht="16.5" customHeight="1">
      <c r="M712" s="1"/>
      <c r="N712" s="1"/>
      <c r="O712" s="1"/>
      <c r="P712" s="1"/>
    </row>
    <row r="713" spans="13:16" ht="16.5" customHeight="1">
      <c r="M713" s="1"/>
      <c r="N713" s="1"/>
      <c r="O713" s="1"/>
      <c r="P713" s="1"/>
    </row>
    <row r="714" spans="13:16" ht="16.5" customHeight="1">
      <c r="M714" s="1"/>
      <c r="N714" s="1"/>
      <c r="O714" s="1"/>
      <c r="P714" s="1"/>
    </row>
    <row r="715" spans="13:16" ht="16.5" customHeight="1">
      <c r="M715" s="1"/>
      <c r="N715" s="1"/>
      <c r="O715" s="1"/>
      <c r="P715" s="1"/>
    </row>
    <row r="716" spans="13:16" ht="16.5" customHeight="1">
      <c r="M716" s="1"/>
      <c r="N716" s="1"/>
      <c r="O716" s="1"/>
      <c r="P716" s="1"/>
    </row>
    <row r="717" spans="13:16" ht="16.5" customHeight="1">
      <c r="M717" s="1"/>
      <c r="N717" s="1"/>
      <c r="O717" s="1"/>
      <c r="P717" s="1"/>
    </row>
    <row r="718" spans="13:16" ht="16.5" customHeight="1">
      <c r="M718" s="1"/>
      <c r="N718" s="1"/>
      <c r="O718" s="1"/>
      <c r="P718" s="1"/>
    </row>
    <row r="719" spans="13:16" ht="16.5" customHeight="1">
      <c r="M719" s="1"/>
      <c r="N719" s="1"/>
      <c r="O719" s="1"/>
      <c r="P719" s="1"/>
    </row>
    <row r="720" spans="13:16" ht="16.5" customHeight="1">
      <c r="M720" s="1"/>
      <c r="N720" s="1"/>
      <c r="O720" s="1"/>
      <c r="P720" s="1"/>
    </row>
    <row r="721" spans="13:16" ht="16.5" customHeight="1">
      <c r="M721" s="1"/>
      <c r="N721" s="1"/>
      <c r="O721" s="1"/>
      <c r="P721" s="1"/>
    </row>
    <row r="722" spans="13:16" ht="16.5" customHeight="1">
      <c r="M722" s="1"/>
      <c r="N722" s="1"/>
      <c r="O722" s="1"/>
      <c r="P722" s="1"/>
    </row>
    <row r="723" spans="13:16" ht="16.5" customHeight="1">
      <c r="M723" s="1"/>
      <c r="N723" s="1"/>
      <c r="O723" s="1"/>
      <c r="P723" s="1"/>
    </row>
    <row r="724" spans="13:16" ht="16.5" customHeight="1">
      <c r="M724" s="1"/>
      <c r="N724" s="1"/>
      <c r="O724" s="1"/>
      <c r="P724" s="1"/>
    </row>
    <row r="725" spans="13:16" ht="16.5" customHeight="1">
      <c r="M725" s="1"/>
      <c r="N725" s="1"/>
      <c r="O725" s="1"/>
      <c r="P725" s="1"/>
    </row>
    <row r="726" spans="13:16" ht="16.5" customHeight="1">
      <c r="M726" s="1"/>
      <c r="N726" s="1"/>
      <c r="O726" s="1"/>
      <c r="P726" s="1"/>
    </row>
    <row r="727" spans="13:16" ht="16.5" customHeight="1">
      <c r="M727" s="1"/>
      <c r="N727" s="1"/>
      <c r="O727" s="1"/>
      <c r="P727" s="1"/>
    </row>
    <row r="728" spans="13:16" ht="16.5" customHeight="1">
      <c r="M728" s="1"/>
      <c r="N728" s="1"/>
      <c r="O728" s="1"/>
      <c r="P728" s="1"/>
    </row>
    <row r="729" spans="13:16" ht="16.5" customHeight="1">
      <c r="M729" s="1"/>
      <c r="N729" s="1"/>
      <c r="O729" s="1"/>
      <c r="P729" s="1"/>
    </row>
    <row r="730" spans="13:16" ht="16.5" customHeight="1">
      <c r="M730" s="1"/>
      <c r="N730" s="1"/>
      <c r="O730" s="1"/>
      <c r="P730" s="1"/>
    </row>
    <row r="731" spans="13:16" ht="16.5" customHeight="1">
      <c r="M731" s="1"/>
      <c r="N731" s="1"/>
      <c r="O731" s="1"/>
      <c r="P731" s="1"/>
    </row>
    <row r="732" spans="13:16" ht="16.5" customHeight="1">
      <c r="M732" s="1"/>
      <c r="N732" s="1"/>
      <c r="O732" s="1"/>
      <c r="P732" s="1"/>
    </row>
    <row r="733" spans="13:16" ht="16.5" customHeight="1">
      <c r="M733" s="1"/>
      <c r="N733" s="1"/>
      <c r="O733" s="1"/>
      <c r="P733" s="1"/>
    </row>
    <row r="734" spans="13:16" ht="16.5" customHeight="1">
      <c r="M734" s="1"/>
      <c r="N734" s="1"/>
      <c r="O734" s="1"/>
      <c r="P734" s="1"/>
    </row>
    <row r="735" spans="13:16" ht="16.5" customHeight="1">
      <c r="M735" s="1"/>
      <c r="N735" s="1"/>
      <c r="O735" s="1"/>
      <c r="P735" s="1"/>
    </row>
    <row r="736" spans="13:16" ht="16.5" customHeight="1">
      <c r="M736" s="1"/>
      <c r="N736" s="1"/>
      <c r="O736" s="1"/>
      <c r="P736" s="1"/>
    </row>
    <row r="737" spans="13:16" ht="16.5" customHeight="1">
      <c r="M737" s="1"/>
      <c r="N737" s="1"/>
      <c r="O737" s="1"/>
      <c r="P737" s="1"/>
    </row>
    <row r="738" spans="13:16" ht="16.5" customHeight="1">
      <c r="M738" s="1"/>
      <c r="N738" s="1"/>
      <c r="O738" s="1"/>
      <c r="P738" s="1"/>
    </row>
    <row r="739" spans="13:16" ht="16.5" customHeight="1">
      <c r="M739" s="1"/>
      <c r="N739" s="1"/>
      <c r="O739" s="1"/>
      <c r="P739" s="1"/>
    </row>
    <row r="740" spans="13:16" ht="16.5" customHeight="1">
      <c r="M740" s="1"/>
      <c r="N740" s="1"/>
      <c r="O740" s="1"/>
      <c r="P740" s="1"/>
    </row>
    <row r="741" spans="13:16" ht="16.5" customHeight="1">
      <c r="M741" s="1"/>
      <c r="N741" s="1"/>
      <c r="O741" s="1"/>
      <c r="P741" s="1"/>
    </row>
    <row r="742" spans="13:16" ht="16.5" customHeight="1">
      <c r="M742" s="1"/>
      <c r="N742" s="1"/>
      <c r="O742" s="1"/>
      <c r="P742" s="1"/>
    </row>
    <row r="743" spans="13:16" ht="16.5" customHeight="1">
      <c r="M743" s="1"/>
      <c r="N743" s="1"/>
      <c r="O743" s="1"/>
      <c r="P743" s="1"/>
    </row>
    <row r="744" spans="13:16" ht="16.5" customHeight="1">
      <c r="M744" s="1"/>
      <c r="N744" s="1"/>
      <c r="O744" s="1"/>
      <c r="P744" s="1"/>
    </row>
    <row r="745" spans="13:16" ht="16.5" customHeight="1">
      <c r="M745" s="1"/>
      <c r="N745" s="1"/>
      <c r="O745" s="1"/>
      <c r="P745" s="1"/>
    </row>
    <row r="746" spans="13:16" ht="16.5" customHeight="1">
      <c r="M746" s="1"/>
      <c r="N746" s="1"/>
      <c r="O746" s="1"/>
      <c r="P746" s="1"/>
    </row>
    <row r="747" spans="13:16" ht="16.5" customHeight="1">
      <c r="M747" s="1"/>
      <c r="N747" s="1"/>
      <c r="O747" s="1"/>
      <c r="P747" s="1"/>
    </row>
    <row r="748" spans="13:16" ht="16.5" customHeight="1">
      <c r="M748" s="1"/>
      <c r="N748" s="1"/>
      <c r="O748" s="1"/>
      <c r="P748" s="1"/>
    </row>
    <row r="749" spans="13:16" ht="16.5" customHeight="1">
      <c r="M749" s="1"/>
      <c r="N749" s="1"/>
      <c r="O749" s="1"/>
      <c r="P749" s="1"/>
    </row>
    <row r="750" spans="13:16" ht="16.5" customHeight="1">
      <c r="M750" s="1"/>
      <c r="N750" s="1"/>
      <c r="O750" s="1"/>
      <c r="P750" s="1"/>
    </row>
    <row r="751" spans="13:16" ht="16.5" customHeight="1">
      <c r="M751" s="1"/>
      <c r="N751" s="1"/>
      <c r="O751" s="1"/>
      <c r="P751" s="1"/>
    </row>
    <row r="752" spans="13:16" ht="16.5" customHeight="1">
      <c r="M752" s="1"/>
      <c r="N752" s="1"/>
      <c r="O752" s="1"/>
      <c r="P752" s="1"/>
    </row>
    <row r="753" spans="13:16" ht="16.5" customHeight="1">
      <c r="M753" s="1"/>
      <c r="N753" s="1"/>
      <c r="O753" s="1"/>
      <c r="P753" s="1"/>
    </row>
    <row r="754" spans="13:16" ht="16.5" customHeight="1">
      <c r="M754" s="1"/>
      <c r="N754" s="1"/>
      <c r="O754" s="1"/>
      <c r="P754" s="1"/>
    </row>
    <row r="755" spans="13:16" ht="16.5" customHeight="1">
      <c r="M755" s="1"/>
      <c r="N755" s="1"/>
      <c r="O755" s="1"/>
      <c r="P755" s="1"/>
    </row>
    <row r="756" spans="13:16" ht="16.5" customHeight="1">
      <c r="M756" s="1"/>
      <c r="N756" s="1"/>
      <c r="O756" s="1"/>
      <c r="P756" s="1"/>
    </row>
    <row r="757" spans="13:16" ht="16.5" customHeight="1">
      <c r="M757" s="1"/>
      <c r="N757" s="1"/>
      <c r="O757" s="1"/>
      <c r="P757" s="1"/>
    </row>
    <row r="758" spans="13:16" ht="16.5" customHeight="1">
      <c r="M758" s="1"/>
      <c r="N758" s="1"/>
      <c r="O758" s="1"/>
      <c r="P758" s="1"/>
    </row>
    <row r="759" spans="13:16" ht="16.5" customHeight="1">
      <c r="M759" s="1"/>
      <c r="N759" s="1"/>
      <c r="O759" s="1"/>
      <c r="P759" s="1"/>
    </row>
    <row r="760" spans="13:16" ht="16.5" customHeight="1">
      <c r="M760" s="1"/>
      <c r="N760" s="1"/>
      <c r="O760" s="1"/>
      <c r="P760" s="1"/>
    </row>
    <row r="761" spans="13:16" ht="16.5" customHeight="1">
      <c r="M761" s="1"/>
      <c r="N761" s="1"/>
      <c r="O761" s="1"/>
      <c r="P761" s="1"/>
    </row>
    <row r="762" spans="13:16" ht="16.5" customHeight="1">
      <c r="M762" s="1"/>
      <c r="N762" s="1"/>
      <c r="O762" s="1"/>
      <c r="P762" s="1"/>
    </row>
    <row r="763" spans="13:16" ht="16.5" customHeight="1">
      <c r="M763" s="1"/>
      <c r="N763" s="1"/>
      <c r="O763" s="1"/>
      <c r="P763" s="1"/>
    </row>
    <row r="764" spans="13:16" ht="16.5" customHeight="1">
      <c r="M764" s="1"/>
      <c r="N764" s="1"/>
      <c r="O764" s="1"/>
      <c r="P764" s="1"/>
    </row>
    <row r="765" spans="13:16" ht="16.5" customHeight="1">
      <c r="M765" s="1"/>
      <c r="N765" s="1"/>
      <c r="O765" s="1"/>
      <c r="P765" s="1"/>
    </row>
    <row r="766" spans="13:16" ht="16.5" customHeight="1">
      <c r="M766" s="1"/>
      <c r="N766" s="1"/>
      <c r="O766" s="1"/>
      <c r="P766" s="1"/>
    </row>
    <row r="767" spans="13:16" ht="16.5" customHeight="1">
      <c r="M767" s="1"/>
      <c r="N767" s="1"/>
      <c r="O767" s="1"/>
      <c r="P767" s="1"/>
    </row>
    <row r="768" spans="13:16" ht="16.5" customHeight="1">
      <c r="M768" s="1"/>
      <c r="N768" s="1"/>
      <c r="O768" s="1"/>
      <c r="P768" s="1"/>
    </row>
    <row r="769" spans="13:16" ht="16.5" customHeight="1">
      <c r="M769" s="1"/>
      <c r="N769" s="1"/>
      <c r="O769" s="1"/>
      <c r="P769" s="1"/>
    </row>
    <row r="770" spans="13:16" ht="16.5" customHeight="1">
      <c r="M770" s="1"/>
      <c r="N770" s="1"/>
      <c r="O770" s="1"/>
      <c r="P770" s="1"/>
    </row>
    <row r="771" spans="13:16" ht="16.5" customHeight="1">
      <c r="M771" s="1"/>
      <c r="N771" s="1"/>
      <c r="O771" s="1"/>
      <c r="P771" s="1"/>
    </row>
    <row r="772" spans="13:16" ht="16.5" customHeight="1">
      <c r="M772" s="1"/>
      <c r="N772" s="1"/>
      <c r="O772" s="1"/>
      <c r="P772" s="1"/>
    </row>
    <row r="773" spans="13:16" ht="16.5" customHeight="1">
      <c r="M773" s="1"/>
      <c r="N773" s="1"/>
      <c r="O773" s="1"/>
      <c r="P773" s="1"/>
    </row>
    <row r="774" spans="13:16" ht="16.5" customHeight="1">
      <c r="M774" s="1"/>
      <c r="N774" s="1"/>
      <c r="O774" s="1"/>
      <c r="P774" s="1"/>
    </row>
    <row r="775" spans="13:16" ht="16.5" customHeight="1">
      <c r="M775" s="1"/>
      <c r="N775" s="1"/>
      <c r="O775" s="1"/>
      <c r="P775" s="1"/>
    </row>
    <row r="776" spans="13:16" ht="16.5" customHeight="1">
      <c r="M776" s="1"/>
      <c r="N776" s="1"/>
      <c r="O776" s="1"/>
      <c r="P776" s="1"/>
    </row>
    <row r="777" spans="13:16" ht="16.5" customHeight="1">
      <c r="M777" s="1"/>
      <c r="N777" s="1"/>
      <c r="O777" s="1"/>
      <c r="P777" s="1"/>
    </row>
    <row r="778" spans="13:16" ht="16.5" customHeight="1">
      <c r="M778" s="1"/>
      <c r="N778" s="1"/>
      <c r="O778" s="1"/>
      <c r="P778" s="1"/>
    </row>
    <row r="779" spans="13:16" ht="16.5" customHeight="1">
      <c r="M779" s="1"/>
      <c r="N779" s="1"/>
      <c r="O779" s="1"/>
      <c r="P779" s="1"/>
    </row>
    <row r="780" spans="13:16" ht="16.5" customHeight="1">
      <c r="M780" s="1"/>
      <c r="N780" s="1"/>
      <c r="O780" s="1"/>
      <c r="P780" s="1"/>
    </row>
    <row r="781" spans="13:16" ht="16.5" customHeight="1">
      <c r="M781" s="1"/>
      <c r="N781" s="1"/>
      <c r="O781" s="1"/>
      <c r="P781" s="1"/>
    </row>
    <row r="782" spans="13:16" ht="16.5" customHeight="1">
      <c r="M782" s="1"/>
      <c r="N782" s="1"/>
      <c r="O782" s="1"/>
      <c r="P782" s="1"/>
    </row>
    <row r="783" spans="13:16" ht="16.5" customHeight="1">
      <c r="M783" s="1"/>
      <c r="N783" s="1"/>
      <c r="O783" s="1"/>
      <c r="P783" s="1"/>
    </row>
    <row r="784" spans="13:16" ht="16.5" customHeight="1">
      <c r="M784" s="1"/>
      <c r="N784" s="1"/>
      <c r="O784" s="1"/>
      <c r="P784" s="1"/>
    </row>
    <row r="785" spans="13:16" ht="16.5" customHeight="1">
      <c r="M785" s="1"/>
      <c r="N785" s="1"/>
      <c r="O785" s="1"/>
      <c r="P785" s="1"/>
    </row>
    <row r="786" spans="13:16" ht="16.5" customHeight="1">
      <c r="M786" s="1"/>
      <c r="N786" s="1"/>
      <c r="O786" s="1"/>
      <c r="P786" s="1"/>
    </row>
    <row r="787" spans="13:16" ht="16.5" customHeight="1">
      <c r="M787" s="1"/>
      <c r="N787" s="1"/>
      <c r="O787" s="1"/>
      <c r="P787" s="1"/>
    </row>
    <row r="788" spans="13:16" ht="16.5" customHeight="1">
      <c r="M788" s="1"/>
      <c r="N788" s="1"/>
      <c r="O788" s="1"/>
      <c r="P788" s="1"/>
    </row>
    <row r="789" spans="13:16" ht="16.5" customHeight="1">
      <c r="M789" s="1"/>
      <c r="N789" s="1"/>
      <c r="O789" s="1"/>
      <c r="P789" s="1"/>
    </row>
    <row r="790" spans="13:16" ht="16.5" customHeight="1">
      <c r="M790" s="1"/>
      <c r="N790" s="1"/>
      <c r="O790" s="1"/>
      <c r="P790" s="1"/>
    </row>
    <row r="791" spans="13:16" ht="16.5" customHeight="1">
      <c r="M791" s="1"/>
      <c r="N791" s="1"/>
      <c r="O791" s="1"/>
      <c r="P791" s="1"/>
    </row>
    <row r="792" spans="13:16" ht="16.5" customHeight="1">
      <c r="M792" s="1"/>
      <c r="N792" s="1"/>
      <c r="O792" s="1"/>
      <c r="P792" s="1"/>
    </row>
    <row r="793" spans="13:16" ht="16.5" customHeight="1">
      <c r="M793" s="1"/>
      <c r="N793" s="1"/>
      <c r="O793" s="1"/>
      <c r="P793" s="1"/>
    </row>
    <row r="794" spans="13:16" ht="16.5" customHeight="1">
      <c r="M794" s="1"/>
      <c r="N794" s="1"/>
      <c r="O794" s="1"/>
      <c r="P794" s="1"/>
    </row>
    <row r="795" spans="13:16" ht="16.5" customHeight="1">
      <c r="M795" s="1"/>
      <c r="N795" s="1"/>
      <c r="O795" s="1"/>
      <c r="P795" s="1"/>
    </row>
    <row r="796" spans="13:16" ht="16.5" customHeight="1">
      <c r="M796" s="1"/>
      <c r="N796" s="1"/>
      <c r="O796" s="1"/>
      <c r="P796" s="1"/>
    </row>
    <row r="797" spans="13:16" ht="16.5" customHeight="1">
      <c r="M797" s="1"/>
      <c r="N797" s="1"/>
      <c r="O797" s="1"/>
      <c r="P797" s="1"/>
    </row>
    <row r="798" spans="13:16" ht="16.5" customHeight="1">
      <c r="M798" s="1"/>
      <c r="N798" s="1"/>
      <c r="O798" s="1"/>
      <c r="P798" s="1"/>
    </row>
    <row r="799" spans="13:16" ht="16.5" customHeight="1">
      <c r="M799" s="1"/>
      <c r="N799" s="1"/>
      <c r="O799" s="1"/>
      <c r="P799" s="1"/>
    </row>
    <row r="800" spans="13:16" ht="16.5" customHeight="1">
      <c r="M800" s="1"/>
      <c r="N800" s="1"/>
      <c r="O800" s="1"/>
      <c r="P800" s="1"/>
    </row>
    <row r="801" spans="13:16" ht="16.5" customHeight="1">
      <c r="M801" s="1"/>
      <c r="N801" s="1"/>
      <c r="O801" s="1"/>
      <c r="P801" s="1"/>
    </row>
    <row r="802" spans="13:16" ht="16.5" customHeight="1">
      <c r="M802" s="1"/>
      <c r="N802" s="1"/>
      <c r="O802" s="1"/>
      <c r="P802" s="1"/>
    </row>
    <row r="803" spans="13:16" ht="16.5" customHeight="1">
      <c r="M803" s="1"/>
      <c r="N803" s="1"/>
      <c r="O803" s="1"/>
      <c r="P803" s="1"/>
    </row>
    <row r="804" spans="13:16" ht="16.5" customHeight="1">
      <c r="M804" s="1"/>
      <c r="N804" s="1"/>
      <c r="O804" s="1"/>
      <c r="P804" s="1"/>
    </row>
    <row r="805" spans="13:16" ht="16.5" customHeight="1">
      <c r="M805" s="1"/>
      <c r="N805" s="1"/>
      <c r="O805" s="1"/>
      <c r="P805" s="1"/>
    </row>
    <row r="806" spans="13:16" ht="16.5" customHeight="1">
      <c r="M806" s="1"/>
      <c r="N806" s="1"/>
      <c r="O806" s="1"/>
      <c r="P806" s="1"/>
    </row>
    <row r="807" spans="13:16" ht="16.5" customHeight="1">
      <c r="M807" s="1"/>
      <c r="N807" s="1"/>
      <c r="O807" s="1"/>
      <c r="P807" s="1"/>
    </row>
    <row r="808" spans="13:16" ht="16.5" customHeight="1">
      <c r="M808" s="1"/>
      <c r="N808" s="1"/>
      <c r="O808" s="1"/>
      <c r="P808" s="1"/>
    </row>
    <row r="809" spans="13:16" ht="16.5" customHeight="1">
      <c r="M809" s="1"/>
      <c r="N809" s="1"/>
      <c r="O809" s="1"/>
      <c r="P809" s="1"/>
    </row>
    <row r="810" spans="13:16" ht="16.5" customHeight="1">
      <c r="M810" s="1"/>
      <c r="N810" s="1"/>
      <c r="O810" s="1"/>
      <c r="P810" s="1"/>
    </row>
    <row r="811" spans="13:16" ht="16.5" customHeight="1">
      <c r="M811" s="1"/>
      <c r="N811" s="1"/>
      <c r="O811" s="1"/>
      <c r="P811" s="1"/>
    </row>
    <row r="812" spans="13:16" ht="16.5" customHeight="1">
      <c r="M812" s="1"/>
      <c r="N812" s="1"/>
      <c r="O812" s="1"/>
      <c r="P812" s="1"/>
    </row>
    <row r="813" spans="13:16" ht="16.5" customHeight="1">
      <c r="M813" s="1"/>
      <c r="N813" s="1"/>
      <c r="O813" s="1"/>
      <c r="P813" s="1"/>
    </row>
    <row r="814" spans="13:16" ht="16.5" customHeight="1">
      <c r="M814" s="1"/>
      <c r="N814" s="1"/>
      <c r="O814" s="1"/>
      <c r="P814" s="1"/>
    </row>
    <row r="815" spans="13:16" ht="16.5" customHeight="1">
      <c r="M815" s="1"/>
      <c r="N815" s="1"/>
      <c r="O815" s="1"/>
      <c r="P815" s="1"/>
    </row>
    <row r="816" spans="13:16" ht="16.5" customHeight="1">
      <c r="M816" s="1"/>
      <c r="N816" s="1"/>
      <c r="O816" s="1"/>
      <c r="P816" s="1"/>
    </row>
    <row r="817" spans="13:16" ht="16.5" customHeight="1">
      <c r="M817" s="1"/>
      <c r="N817" s="1"/>
      <c r="O817" s="1"/>
      <c r="P817" s="1"/>
    </row>
    <row r="818" spans="13:16" ht="16.5" customHeight="1">
      <c r="M818" s="1"/>
      <c r="N818" s="1"/>
      <c r="O818" s="1"/>
      <c r="P818" s="1"/>
    </row>
    <row r="819" spans="13:16" ht="16.5" customHeight="1">
      <c r="M819" s="1"/>
      <c r="N819" s="1"/>
      <c r="O819" s="1"/>
      <c r="P819" s="1"/>
    </row>
    <row r="820" spans="13:16" ht="16.5" customHeight="1">
      <c r="M820" s="1"/>
      <c r="N820" s="1"/>
      <c r="O820" s="1"/>
      <c r="P820" s="1"/>
    </row>
    <row r="821" spans="13:16" ht="16.5" customHeight="1">
      <c r="M821" s="1"/>
      <c r="N821" s="1"/>
      <c r="O821" s="1"/>
      <c r="P821" s="1"/>
    </row>
    <row r="822" spans="13:16" ht="16.5" customHeight="1">
      <c r="M822" s="1"/>
      <c r="N822" s="1"/>
      <c r="O822" s="1"/>
      <c r="P822" s="1"/>
    </row>
    <row r="823" spans="13:16" ht="16.5" customHeight="1">
      <c r="M823" s="1"/>
      <c r="N823" s="1"/>
      <c r="O823" s="1"/>
      <c r="P823" s="1"/>
    </row>
    <row r="824" spans="13:16" ht="16.5" customHeight="1">
      <c r="M824" s="1"/>
      <c r="N824" s="1"/>
      <c r="O824" s="1"/>
      <c r="P824" s="1"/>
    </row>
    <row r="825" spans="13:16" ht="16.5" customHeight="1">
      <c r="M825" s="1"/>
      <c r="N825" s="1"/>
      <c r="O825" s="1"/>
      <c r="P825" s="1"/>
    </row>
    <row r="826" spans="13:16" ht="16.5" customHeight="1">
      <c r="M826" s="1"/>
      <c r="N826" s="1"/>
      <c r="O826" s="1"/>
      <c r="P826" s="1"/>
    </row>
    <row r="827" spans="13:16" ht="16.5" customHeight="1">
      <c r="M827" s="1"/>
      <c r="N827" s="1"/>
      <c r="O827" s="1"/>
      <c r="P827" s="1"/>
    </row>
    <row r="828" spans="13:16" ht="16.5" customHeight="1">
      <c r="M828" s="1"/>
      <c r="N828" s="1"/>
      <c r="O828" s="1"/>
      <c r="P828" s="1"/>
    </row>
    <row r="829" spans="13:16" ht="16.5" customHeight="1">
      <c r="M829" s="1"/>
      <c r="N829" s="1"/>
      <c r="O829" s="1"/>
      <c r="P829" s="1"/>
    </row>
    <row r="830" spans="13:16" ht="16.5" customHeight="1">
      <c r="M830" s="1"/>
      <c r="N830" s="1"/>
      <c r="O830" s="1"/>
      <c r="P830" s="1"/>
    </row>
    <row r="831" spans="13:16" ht="16.5" customHeight="1">
      <c r="M831" s="1"/>
      <c r="N831" s="1"/>
      <c r="O831" s="1"/>
      <c r="P831" s="1"/>
    </row>
    <row r="832" spans="13:16" ht="16.5" customHeight="1">
      <c r="M832" s="1"/>
      <c r="N832" s="1"/>
      <c r="O832" s="1"/>
      <c r="P832" s="1"/>
    </row>
    <row r="833" spans="13:16" ht="16.5" customHeight="1">
      <c r="M833" s="1"/>
      <c r="N833" s="1"/>
      <c r="O833" s="1"/>
      <c r="P833" s="1"/>
    </row>
    <row r="834" spans="13:16" ht="16.5" customHeight="1">
      <c r="M834" s="1"/>
      <c r="N834" s="1"/>
      <c r="O834" s="1"/>
      <c r="P834" s="1"/>
    </row>
    <row r="835" spans="13:16" ht="16.5" customHeight="1">
      <c r="M835" s="1"/>
      <c r="N835" s="1"/>
      <c r="O835" s="1"/>
      <c r="P835" s="1"/>
    </row>
    <row r="836" spans="13:16" ht="16.5" customHeight="1">
      <c r="M836" s="1"/>
      <c r="N836" s="1"/>
      <c r="O836" s="1"/>
      <c r="P836" s="1"/>
    </row>
    <row r="837" spans="13:16" ht="16.5" customHeight="1">
      <c r="M837" s="1"/>
      <c r="N837" s="1"/>
      <c r="O837" s="1"/>
      <c r="P837" s="1"/>
    </row>
    <row r="838" spans="13:16" ht="16.5" customHeight="1">
      <c r="M838" s="1"/>
      <c r="N838" s="1"/>
      <c r="O838" s="1"/>
      <c r="P838" s="1"/>
    </row>
    <row r="839" spans="13:16" ht="16.5" customHeight="1">
      <c r="M839" s="1"/>
      <c r="N839" s="1"/>
      <c r="O839" s="1"/>
      <c r="P839" s="1"/>
    </row>
    <row r="840" spans="13:16" ht="16.5" customHeight="1">
      <c r="M840" s="1"/>
      <c r="N840" s="1"/>
      <c r="O840" s="1"/>
      <c r="P840" s="1"/>
    </row>
    <row r="841" spans="13:16" ht="16.5" customHeight="1">
      <c r="M841" s="1"/>
      <c r="N841" s="1"/>
      <c r="O841" s="1"/>
      <c r="P841" s="1"/>
    </row>
    <row r="842" spans="13:16" ht="16.5" customHeight="1">
      <c r="M842" s="1"/>
      <c r="N842" s="1"/>
      <c r="O842" s="1"/>
      <c r="P842" s="1"/>
    </row>
    <row r="843" spans="13:16" ht="16.5" customHeight="1">
      <c r="M843" s="1"/>
      <c r="N843" s="1"/>
      <c r="O843" s="1"/>
      <c r="P843" s="1"/>
    </row>
    <row r="844" spans="13:16" ht="16.5" customHeight="1">
      <c r="M844" s="1"/>
      <c r="N844" s="1"/>
      <c r="O844" s="1"/>
      <c r="P844" s="1"/>
    </row>
    <row r="845" spans="13:16" ht="16.5" customHeight="1">
      <c r="M845" s="1"/>
      <c r="N845" s="1"/>
      <c r="O845" s="1"/>
      <c r="P845" s="1"/>
    </row>
    <row r="846" spans="13:16" ht="16.5" customHeight="1">
      <c r="M846" s="1"/>
      <c r="N846" s="1"/>
      <c r="O846" s="1"/>
      <c r="P846" s="1"/>
    </row>
    <row r="847" spans="13:16" ht="16.5" customHeight="1">
      <c r="M847" s="1"/>
      <c r="N847" s="1"/>
      <c r="O847" s="1"/>
      <c r="P847" s="1"/>
    </row>
    <row r="848" spans="13:16" ht="16.5" customHeight="1">
      <c r="M848" s="1"/>
      <c r="N848" s="1"/>
      <c r="O848" s="1"/>
      <c r="P848" s="1"/>
    </row>
    <row r="849" spans="13:16" ht="16.5" customHeight="1">
      <c r="M849" s="1"/>
      <c r="N849" s="1"/>
      <c r="O849" s="1"/>
      <c r="P849" s="1"/>
    </row>
    <row r="850" spans="13:16" ht="16.5" customHeight="1">
      <c r="M850" s="1"/>
      <c r="N850" s="1"/>
      <c r="O850" s="1"/>
      <c r="P850" s="1"/>
    </row>
    <row r="851" spans="13:16" ht="16.5" customHeight="1">
      <c r="M851" s="1"/>
      <c r="N851" s="1"/>
      <c r="O851" s="1"/>
      <c r="P851" s="1"/>
    </row>
    <row r="852" spans="13:16" ht="16.5" customHeight="1">
      <c r="M852" s="1"/>
      <c r="N852" s="1"/>
      <c r="O852" s="1"/>
      <c r="P852" s="1"/>
    </row>
    <row r="853" spans="13:16" ht="16.5" customHeight="1">
      <c r="M853" s="1"/>
      <c r="N853" s="1"/>
      <c r="O853" s="1"/>
      <c r="P853" s="1"/>
    </row>
    <row r="854" spans="13:16" ht="16.5" customHeight="1">
      <c r="M854" s="1"/>
      <c r="N854" s="1"/>
      <c r="O854" s="1"/>
      <c r="P854" s="1"/>
    </row>
    <row r="855" spans="13:16" ht="16.5" customHeight="1">
      <c r="M855" s="1"/>
      <c r="N855" s="1"/>
      <c r="O855" s="1"/>
      <c r="P855" s="1"/>
    </row>
    <row r="856" spans="13:16" ht="16.5" customHeight="1">
      <c r="M856" s="1"/>
      <c r="N856" s="1"/>
      <c r="O856" s="1"/>
      <c r="P856" s="1"/>
    </row>
    <row r="857" spans="13:16" ht="16.5" customHeight="1">
      <c r="M857" s="1"/>
      <c r="N857" s="1"/>
      <c r="O857" s="1"/>
      <c r="P857" s="1"/>
    </row>
    <row r="858" spans="13:16" ht="16.5" customHeight="1">
      <c r="M858" s="1"/>
      <c r="N858" s="1"/>
      <c r="O858" s="1"/>
      <c r="P858" s="1"/>
    </row>
    <row r="859" spans="13:16" ht="16.5" customHeight="1">
      <c r="M859" s="1"/>
      <c r="N859" s="1"/>
      <c r="O859" s="1"/>
      <c r="P859" s="1"/>
    </row>
    <row r="860" spans="13:16" ht="16.5" customHeight="1">
      <c r="M860" s="1"/>
      <c r="N860" s="1"/>
      <c r="O860" s="1"/>
      <c r="P860" s="1"/>
    </row>
    <row r="861" spans="13:16" ht="16.5" customHeight="1">
      <c r="M861" s="1"/>
      <c r="N861" s="1"/>
      <c r="O861" s="1"/>
      <c r="P861" s="1"/>
    </row>
    <row r="862" spans="13:16" ht="16.5" customHeight="1">
      <c r="M862" s="1"/>
      <c r="N862" s="1"/>
      <c r="O862" s="1"/>
      <c r="P862" s="1"/>
    </row>
    <row r="863" spans="13:16" ht="16.5" customHeight="1">
      <c r="M863" s="1"/>
      <c r="N863" s="1"/>
      <c r="O863" s="1"/>
      <c r="P863" s="1"/>
    </row>
    <row r="864" spans="13:16" ht="16.5" customHeight="1">
      <c r="M864" s="1"/>
      <c r="N864" s="1"/>
      <c r="O864" s="1"/>
      <c r="P864" s="1"/>
    </row>
    <row r="865" spans="13:16" ht="16.5" customHeight="1">
      <c r="M865" s="1"/>
      <c r="N865" s="1"/>
      <c r="O865" s="1"/>
      <c r="P865" s="1"/>
    </row>
    <row r="866" spans="13:16" ht="16.5" customHeight="1">
      <c r="M866" s="1"/>
      <c r="N866" s="1"/>
      <c r="O866" s="1"/>
      <c r="P866" s="1"/>
    </row>
    <row r="867" spans="13:16" ht="16.5" customHeight="1">
      <c r="M867" s="1"/>
      <c r="N867" s="1"/>
      <c r="O867" s="1"/>
      <c r="P867" s="1"/>
    </row>
    <row r="868" spans="13:16" ht="16.5" customHeight="1">
      <c r="M868" s="1"/>
      <c r="N868" s="1"/>
      <c r="O868" s="1"/>
      <c r="P868" s="1"/>
    </row>
    <row r="869" spans="13:16" ht="16.5" customHeight="1">
      <c r="M869" s="1"/>
      <c r="N869" s="1"/>
      <c r="O869" s="1"/>
      <c r="P869" s="1"/>
    </row>
    <row r="870" spans="13:16" ht="16.5" customHeight="1">
      <c r="M870" s="1"/>
      <c r="N870" s="1"/>
      <c r="O870" s="1"/>
      <c r="P870" s="1"/>
    </row>
    <row r="871" spans="13:16" ht="16.5" customHeight="1">
      <c r="M871" s="1"/>
      <c r="N871" s="1"/>
      <c r="O871" s="1"/>
      <c r="P871" s="1"/>
    </row>
    <row r="872" spans="13:16" ht="16.5" customHeight="1">
      <c r="M872" s="1"/>
      <c r="N872" s="1"/>
      <c r="O872" s="1"/>
      <c r="P872" s="1"/>
    </row>
    <row r="873" spans="13:16" ht="16.5" customHeight="1">
      <c r="M873" s="1"/>
      <c r="N873" s="1"/>
      <c r="O873" s="1"/>
      <c r="P873" s="1"/>
    </row>
    <row r="874" spans="13:16" ht="16.5" customHeight="1">
      <c r="M874" s="1"/>
      <c r="N874" s="1"/>
      <c r="O874" s="1"/>
      <c r="P874" s="1"/>
    </row>
    <row r="875" spans="13:16" ht="16.5" customHeight="1">
      <c r="M875" s="1"/>
      <c r="N875" s="1"/>
      <c r="O875" s="1"/>
      <c r="P875" s="1"/>
    </row>
    <row r="876" spans="13:16" ht="16.5" customHeight="1">
      <c r="M876" s="1"/>
      <c r="N876" s="1"/>
      <c r="O876" s="1"/>
      <c r="P876" s="1"/>
    </row>
    <row r="877" spans="13:16" ht="16.5" customHeight="1">
      <c r="M877" s="1"/>
      <c r="N877" s="1"/>
      <c r="O877" s="1"/>
      <c r="P877" s="1"/>
    </row>
    <row r="878" spans="13:16" ht="16.5" customHeight="1">
      <c r="M878" s="1"/>
      <c r="N878" s="1"/>
      <c r="O878" s="1"/>
      <c r="P878" s="1"/>
    </row>
    <row r="879" spans="13:16" ht="16.5" customHeight="1">
      <c r="M879" s="1"/>
      <c r="N879" s="1"/>
      <c r="O879" s="1"/>
      <c r="P879" s="1"/>
    </row>
    <row r="880" spans="13:16" ht="16.5" customHeight="1">
      <c r="M880" s="1"/>
      <c r="N880" s="1"/>
      <c r="O880" s="1"/>
      <c r="P880" s="1"/>
    </row>
    <row r="881" spans="13:16" ht="16.5" customHeight="1">
      <c r="M881" s="1"/>
      <c r="N881" s="1"/>
      <c r="O881" s="1"/>
      <c r="P881" s="1"/>
    </row>
    <row r="882" spans="13:16" ht="16.5" customHeight="1">
      <c r="M882" s="1"/>
      <c r="N882" s="1"/>
      <c r="O882" s="1"/>
      <c r="P882" s="1"/>
    </row>
    <row r="883" spans="13:16" ht="16.5" customHeight="1">
      <c r="M883" s="1"/>
      <c r="N883" s="1"/>
      <c r="O883" s="1"/>
      <c r="P883" s="1"/>
    </row>
    <row r="884" spans="13:16" ht="16.5" customHeight="1">
      <c r="M884" s="1"/>
      <c r="N884" s="1"/>
      <c r="O884" s="1"/>
      <c r="P884" s="1"/>
    </row>
    <row r="885" spans="13:16" ht="16.5" customHeight="1">
      <c r="M885" s="1"/>
      <c r="N885" s="1"/>
      <c r="O885" s="1"/>
      <c r="P885" s="1"/>
    </row>
    <row r="886" spans="13:16" ht="16.5" customHeight="1">
      <c r="M886" s="1"/>
      <c r="N886" s="1"/>
      <c r="O886" s="1"/>
      <c r="P886" s="1"/>
    </row>
    <row r="887" spans="13:16" ht="16.5" customHeight="1">
      <c r="M887" s="1"/>
      <c r="N887" s="1"/>
      <c r="O887" s="1"/>
      <c r="P887" s="1"/>
    </row>
    <row r="888" spans="13:16" ht="16.5" customHeight="1">
      <c r="M888" s="1"/>
      <c r="N888" s="1"/>
      <c r="O888" s="1"/>
      <c r="P888" s="1"/>
    </row>
    <row r="889" spans="13:16" ht="16.5" customHeight="1">
      <c r="M889" s="1"/>
      <c r="N889" s="1"/>
      <c r="O889" s="1"/>
      <c r="P889" s="1"/>
    </row>
    <row r="890" spans="13:16" ht="16.5" customHeight="1">
      <c r="M890" s="1"/>
      <c r="N890" s="1"/>
      <c r="O890" s="1"/>
      <c r="P890" s="1"/>
    </row>
    <row r="891" spans="13:16" ht="16.5" customHeight="1">
      <c r="M891" s="1"/>
      <c r="N891" s="1"/>
      <c r="O891" s="1"/>
      <c r="P891" s="1"/>
    </row>
    <row r="892" spans="13:16" ht="16.5" customHeight="1">
      <c r="M892" s="1"/>
      <c r="N892" s="1"/>
      <c r="O892" s="1"/>
      <c r="P892" s="1"/>
    </row>
    <row r="893" spans="13:16" ht="16.5" customHeight="1">
      <c r="M893" s="1"/>
      <c r="N893" s="1"/>
      <c r="O893" s="1"/>
      <c r="P893" s="1"/>
    </row>
    <row r="894" spans="13:16" ht="16.5" customHeight="1">
      <c r="M894" s="1"/>
      <c r="N894" s="1"/>
      <c r="O894" s="1"/>
      <c r="P894" s="1"/>
    </row>
    <row r="895" spans="13:16" ht="16.5" customHeight="1">
      <c r="M895" s="1"/>
      <c r="N895" s="1"/>
      <c r="O895" s="1"/>
      <c r="P895" s="1"/>
    </row>
    <row r="896" spans="13:16" ht="16.5" customHeight="1">
      <c r="M896" s="1"/>
      <c r="N896" s="1"/>
      <c r="O896" s="1"/>
      <c r="P896" s="1"/>
    </row>
    <row r="897" spans="13:16" ht="16.5" customHeight="1">
      <c r="M897" s="1"/>
      <c r="N897" s="1"/>
      <c r="O897" s="1"/>
      <c r="P897" s="1"/>
    </row>
    <row r="898" spans="13:16" ht="16.5" customHeight="1">
      <c r="M898" s="1"/>
      <c r="N898" s="1"/>
      <c r="O898" s="1"/>
      <c r="P898" s="1"/>
    </row>
    <row r="899" spans="13:16" ht="16.5" customHeight="1">
      <c r="M899" s="1"/>
      <c r="N899" s="1"/>
      <c r="O899" s="1"/>
      <c r="P899" s="1"/>
    </row>
    <row r="900" spans="13:16" ht="16.5" customHeight="1">
      <c r="M900" s="1"/>
      <c r="N900" s="1"/>
      <c r="O900" s="1"/>
      <c r="P900" s="1"/>
    </row>
    <row r="901" spans="13:16" ht="16.5" customHeight="1">
      <c r="M901" s="1"/>
      <c r="N901" s="1"/>
      <c r="O901" s="1"/>
      <c r="P901" s="1"/>
    </row>
    <row r="902" spans="13:16" ht="16.5" customHeight="1">
      <c r="M902" s="1"/>
      <c r="N902" s="1"/>
      <c r="O902" s="1"/>
      <c r="P902" s="1"/>
    </row>
    <row r="903" spans="13:16" ht="16.5" customHeight="1">
      <c r="M903" s="1"/>
      <c r="N903" s="1"/>
      <c r="O903" s="1"/>
      <c r="P903" s="1"/>
    </row>
    <row r="904" spans="13:16" ht="16.5" customHeight="1">
      <c r="M904" s="1"/>
      <c r="N904" s="1"/>
      <c r="O904" s="1"/>
      <c r="P904" s="1"/>
    </row>
    <row r="905" spans="13:16" ht="16.5" customHeight="1">
      <c r="M905" s="1"/>
      <c r="N905" s="1"/>
      <c r="O905" s="1"/>
      <c r="P905" s="1"/>
    </row>
    <row r="906" spans="13:16" ht="16.5" customHeight="1">
      <c r="M906" s="1"/>
      <c r="N906" s="1"/>
      <c r="O906" s="1"/>
      <c r="P906" s="1"/>
    </row>
    <row r="907" spans="13:16" ht="16.5" customHeight="1">
      <c r="M907" s="1"/>
      <c r="N907" s="1"/>
      <c r="O907" s="1"/>
      <c r="P907" s="1"/>
    </row>
    <row r="908" spans="13:16" ht="16.5" customHeight="1">
      <c r="M908" s="1"/>
      <c r="N908" s="1"/>
      <c r="O908" s="1"/>
      <c r="P908" s="1"/>
    </row>
    <row r="909" spans="13:16" ht="16.5" customHeight="1">
      <c r="M909" s="1"/>
      <c r="N909" s="1"/>
      <c r="O909" s="1"/>
      <c r="P909" s="1"/>
    </row>
    <row r="910" spans="13:16" ht="16.5" customHeight="1">
      <c r="M910" s="1"/>
      <c r="N910" s="1"/>
      <c r="O910" s="1"/>
      <c r="P910" s="1"/>
    </row>
    <row r="911" spans="13:16" ht="16.5" customHeight="1">
      <c r="M911" s="1"/>
      <c r="N911" s="1"/>
      <c r="O911" s="1"/>
      <c r="P911" s="1"/>
    </row>
    <row r="912" spans="13:16" ht="16.5" customHeight="1">
      <c r="M912" s="1"/>
      <c r="N912" s="1"/>
      <c r="O912" s="1"/>
      <c r="P912" s="1"/>
    </row>
    <row r="913" spans="13:16" ht="16.5" customHeight="1">
      <c r="M913" s="1"/>
      <c r="N913" s="1"/>
      <c r="O913" s="1"/>
      <c r="P913" s="1"/>
    </row>
    <row r="914" spans="13:16" ht="16.5" customHeight="1">
      <c r="M914" s="1"/>
      <c r="N914" s="1"/>
      <c r="O914" s="1"/>
      <c r="P914" s="1"/>
    </row>
    <row r="915" spans="13:16" ht="16.5" customHeight="1">
      <c r="M915" s="1"/>
      <c r="N915" s="1"/>
      <c r="O915" s="1"/>
      <c r="P915" s="1"/>
    </row>
    <row r="916" spans="13:16" ht="16.5" customHeight="1">
      <c r="M916" s="1"/>
      <c r="N916" s="1"/>
      <c r="O916" s="1"/>
      <c r="P916" s="1"/>
    </row>
    <row r="917" spans="13:16" ht="16.5" customHeight="1">
      <c r="M917" s="1"/>
      <c r="N917" s="1"/>
      <c r="O917" s="1"/>
      <c r="P917" s="1"/>
    </row>
    <row r="918" spans="13:16" ht="16.5" customHeight="1">
      <c r="M918" s="1"/>
      <c r="N918" s="1"/>
      <c r="O918" s="1"/>
      <c r="P918" s="1"/>
    </row>
    <row r="919" spans="13:16" ht="16.5" customHeight="1">
      <c r="M919" s="1"/>
      <c r="N919" s="1"/>
      <c r="O919" s="1"/>
      <c r="P919" s="1"/>
    </row>
    <row r="920" spans="13:16" ht="16.5" customHeight="1">
      <c r="M920" s="1"/>
      <c r="N920" s="1"/>
      <c r="O920" s="1"/>
      <c r="P920" s="1"/>
    </row>
    <row r="921" spans="13:16" ht="16.5" customHeight="1">
      <c r="M921" s="1"/>
      <c r="N921" s="1"/>
      <c r="O921" s="1"/>
      <c r="P921" s="1"/>
    </row>
    <row r="922" spans="13:16" ht="16.5" customHeight="1">
      <c r="M922" s="1"/>
      <c r="N922" s="1"/>
      <c r="O922" s="1"/>
      <c r="P922" s="1"/>
    </row>
    <row r="923" spans="13:16" ht="16.5" customHeight="1">
      <c r="M923" s="1"/>
      <c r="N923" s="1"/>
      <c r="O923" s="1"/>
      <c r="P923" s="1"/>
    </row>
    <row r="924" spans="13:16" ht="16.5" customHeight="1">
      <c r="M924" s="1"/>
      <c r="N924" s="1"/>
      <c r="O924" s="1"/>
      <c r="P924" s="1"/>
    </row>
    <row r="925" spans="13:16" ht="16.5" customHeight="1">
      <c r="M925" s="1"/>
      <c r="N925" s="1"/>
      <c r="O925" s="1"/>
      <c r="P925" s="1"/>
    </row>
    <row r="926" spans="13:16" ht="16.5" customHeight="1">
      <c r="M926" s="1"/>
      <c r="N926" s="1"/>
      <c r="O926" s="1"/>
      <c r="P926" s="1"/>
    </row>
    <row r="927" spans="13:16" ht="16.5" customHeight="1">
      <c r="M927" s="1"/>
      <c r="N927" s="1"/>
      <c r="O927" s="1"/>
      <c r="P927" s="1"/>
    </row>
    <row r="928" spans="13:16" ht="16.5" customHeight="1">
      <c r="M928" s="1"/>
      <c r="N928" s="1"/>
      <c r="O928" s="1"/>
      <c r="P928" s="1"/>
    </row>
    <row r="929" spans="13:16" ht="16.5" customHeight="1">
      <c r="M929" s="1"/>
      <c r="N929" s="1"/>
      <c r="O929" s="1"/>
      <c r="P929" s="1"/>
    </row>
    <row r="930" spans="13:16" ht="16.5" customHeight="1">
      <c r="M930" s="1"/>
      <c r="N930" s="1"/>
      <c r="O930" s="1"/>
      <c r="P930" s="1"/>
    </row>
    <row r="931" spans="13:16" ht="16.5" customHeight="1">
      <c r="M931" s="1"/>
      <c r="N931" s="1"/>
      <c r="O931" s="1"/>
      <c r="P931" s="1"/>
    </row>
    <row r="932" spans="13:16" ht="16.5" customHeight="1">
      <c r="M932" s="1"/>
      <c r="N932" s="1"/>
      <c r="O932" s="1"/>
      <c r="P932" s="1"/>
    </row>
    <row r="933" spans="13:16" ht="16.5" customHeight="1">
      <c r="M933" s="1"/>
      <c r="N933" s="1"/>
      <c r="O933" s="1"/>
      <c r="P933" s="1"/>
    </row>
    <row r="934" spans="13:16" ht="16.5" customHeight="1">
      <c r="M934" s="1"/>
      <c r="N934" s="1"/>
      <c r="O934" s="1"/>
      <c r="P934" s="1"/>
    </row>
    <row r="935" spans="13:16" ht="16.5" customHeight="1">
      <c r="M935" s="1"/>
      <c r="N935" s="1"/>
      <c r="O935" s="1"/>
      <c r="P935" s="1"/>
    </row>
    <row r="936" spans="13:16" ht="16.5" customHeight="1">
      <c r="M936" s="1"/>
      <c r="N936" s="1"/>
      <c r="O936" s="1"/>
      <c r="P936" s="1"/>
    </row>
    <row r="937" spans="13:16" ht="16.5" customHeight="1">
      <c r="M937" s="1"/>
      <c r="N937" s="1"/>
      <c r="O937" s="1"/>
      <c r="P937" s="1"/>
    </row>
    <row r="938" spans="13:16" ht="16.5" customHeight="1">
      <c r="M938" s="1"/>
      <c r="N938" s="1"/>
      <c r="O938" s="1"/>
      <c r="P938" s="1"/>
    </row>
    <row r="939" spans="13:16" ht="16.5" customHeight="1">
      <c r="M939" s="1"/>
      <c r="N939" s="1"/>
      <c r="O939" s="1"/>
      <c r="P939" s="1"/>
    </row>
    <row r="940" spans="13:16" ht="16.5" customHeight="1">
      <c r="M940" s="1"/>
      <c r="N940" s="1"/>
      <c r="O940" s="1"/>
      <c r="P940" s="1"/>
    </row>
    <row r="941" spans="13:16" ht="16.5" customHeight="1">
      <c r="M941" s="1"/>
      <c r="N941" s="1"/>
      <c r="O941" s="1"/>
      <c r="P941" s="1"/>
    </row>
    <row r="942" spans="13:16" ht="16.5" customHeight="1">
      <c r="M942" s="1"/>
      <c r="N942" s="1"/>
      <c r="O942" s="1"/>
      <c r="P942" s="1"/>
    </row>
    <row r="943" spans="13:16" ht="16.5" customHeight="1">
      <c r="M943" s="1"/>
      <c r="N943" s="1"/>
      <c r="O943" s="1"/>
      <c r="P943" s="1"/>
    </row>
    <row r="944" spans="13:16" ht="16.5" customHeight="1">
      <c r="M944" s="1"/>
      <c r="N944" s="1"/>
      <c r="O944" s="1"/>
      <c r="P944" s="1"/>
    </row>
    <row r="945" spans="13:16" ht="16.5" customHeight="1">
      <c r="M945" s="1"/>
      <c r="N945" s="1"/>
      <c r="O945" s="1"/>
      <c r="P945" s="1"/>
    </row>
    <row r="946" spans="13:16" ht="16.5" customHeight="1">
      <c r="M946" s="1"/>
      <c r="N946" s="1"/>
      <c r="O946" s="1"/>
      <c r="P946" s="1"/>
    </row>
    <row r="947" spans="13:16" ht="16.5" customHeight="1">
      <c r="M947" s="1"/>
      <c r="N947" s="1"/>
      <c r="O947" s="1"/>
      <c r="P947" s="1"/>
    </row>
    <row r="948" spans="13:16" ht="16.5" customHeight="1">
      <c r="M948" s="1"/>
      <c r="N948" s="1"/>
      <c r="O948" s="1"/>
      <c r="P948" s="1"/>
    </row>
    <row r="949" spans="13:16" ht="16.5" customHeight="1">
      <c r="M949" s="1"/>
      <c r="N949" s="1"/>
      <c r="O949" s="1"/>
      <c r="P949" s="1"/>
    </row>
    <row r="950" spans="13:16" ht="16.5" customHeight="1">
      <c r="M950" s="1"/>
      <c r="N950" s="1"/>
      <c r="O950" s="1"/>
      <c r="P950" s="1"/>
    </row>
    <row r="951" spans="13:16" ht="16.5" customHeight="1">
      <c r="M951" s="1"/>
      <c r="N951" s="1"/>
      <c r="O951" s="1"/>
      <c r="P951" s="1"/>
    </row>
    <row r="952" spans="13:16" ht="16.5" customHeight="1">
      <c r="M952" s="1"/>
      <c r="N952" s="1"/>
      <c r="O952" s="1"/>
      <c r="P952" s="1"/>
    </row>
    <row r="953" spans="13:16" ht="16.5" customHeight="1">
      <c r="M953" s="1"/>
      <c r="N953" s="1"/>
      <c r="O953" s="1"/>
      <c r="P953" s="1"/>
    </row>
    <row r="954" spans="13:16" ht="16.5" customHeight="1">
      <c r="M954" s="1"/>
      <c r="N954" s="1"/>
      <c r="O954" s="1"/>
      <c r="P954" s="1"/>
    </row>
    <row r="955" spans="13:16" ht="16.5" customHeight="1">
      <c r="M955" s="1"/>
      <c r="N955" s="1"/>
      <c r="O955" s="1"/>
      <c r="P955" s="1"/>
    </row>
    <row r="956" spans="13:16" ht="16.5" customHeight="1">
      <c r="M956" s="1"/>
      <c r="N956" s="1"/>
      <c r="O956" s="1"/>
      <c r="P956" s="1"/>
    </row>
    <row r="957" spans="13:16" ht="16.5" customHeight="1">
      <c r="M957" s="1"/>
      <c r="N957" s="1"/>
      <c r="O957" s="1"/>
      <c r="P957" s="1"/>
    </row>
    <row r="958" spans="13:16" ht="16.5" customHeight="1">
      <c r="M958" s="1"/>
      <c r="N958" s="1"/>
      <c r="O958" s="1"/>
      <c r="P958" s="1"/>
    </row>
    <row r="959" spans="13:16" ht="16.5" customHeight="1">
      <c r="M959" s="1"/>
      <c r="N959" s="1"/>
      <c r="O959" s="1"/>
      <c r="P959" s="1"/>
    </row>
    <row r="960" spans="13:16" ht="16.5" customHeight="1">
      <c r="M960" s="1"/>
      <c r="N960" s="1"/>
      <c r="O960" s="1"/>
      <c r="P960" s="1"/>
    </row>
    <row r="961" spans="13:16" ht="16.5" customHeight="1">
      <c r="M961" s="1"/>
      <c r="N961" s="1"/>
      <c r="O961" s="1"/>
      <c r="P961" s="1"/>
    </row>
    <row r="962" spans="13:16" ht="16.5" customHeight="1">
      <c r="M962" s="1"/>
      <c r="N962" s="1"/>
      <c r="O962" s="1"/>
      <c r="P962" s="1"/>
    </row>
    <row r="963" spans="13:16" ht="16.5" customHeight="1">
      <c r="M963" s="1"/>
      <c r="N963" s="1"/>
      <c r="O963" s="1"/>
      <c r="P963" s="1"/>
    </row>
    <row r="964" spans="13:16" ht="16.5" customHeight="1">
      <c r="M964" s="1"/>
      <c r="N964" s="1"/>
      <c r="O964" s="1"/>
      <c r="P964" s="1"/>
    </row>
    <row r="965" spans="13:16" ht="16.5" customHeight="1">
      <c r="M965" s="1"/>
      <c r="N965" s="1"/>
      <c r="O965" s="1"/>
      <c r="P965" s="1"/>
    </row>
    <row r="966" spans="13:16" ht="16.5" customHeight="1">
      <c r="M966" s="1"/>
      <c r="N966" s="1"/>
      <c r="O966" s="1"/>
      <c r="P966" s="1"/>
    </row>
    <row r="967" spans="13:16" ht="16.5" customHeight="1">
      <c r="M967" s="1"/>
      <c r="N967" s="1"/>
      <c r="O967" s="1"/>
      <c r="P967" s="1"/>
    </row>
    <row r="968" spans="13:16" ht="16.5" customHeight="1">
      <c r="M968" s="1"/>
      <c r="N968" s="1"/>
      <c r="O968" s="1"/>
      <c r="P968" s="1"/>
    </row>
    <row r="969" spans="13:16" ht="16.5" customHeight="1">
      <c r="M969" s="1"/>
      <c r="N969" s="1"/>
      <c r="O969" s="1"/>
      <c r="P969" s="1"/>
    </row>
    <row r="970" spans="13:16" ht="16.5" customHeight="1">
      <c r="M970" s="1"/>
      <c r="N970" s="1"/>
      <c r="O970" s="1"/>
      <c r="P970" s="1"/>
    </row>
    <row r="971" spans="13:16" ht="16.5" customHeight="1">
      <c r="M971" s="1"/>
      <c r="N971" s="1"/>
      <c r="O971" s="1"/>
      <c r="P971" s="1"/>
    </row>
    <row r="972" spans="13:16" ht="16.5" customHeight="1">
      <c r="M972" s="1"/>
      <c r="N972" s="1"/>
      <c r="O972" s="1"/>
      <c r="P972" s="1"/>
    </row>
    <row r="973" spans="13:16" ht="16.5" customHeight="1">
      <c r="M973" s="1"/>
      <c r="N973" s="1"/>
      <c r="O973" s="1"/>
      <c r="P973" s="1"/>
    </row>
    <row r="974" spans="13:16" ht="16.5" customHeight="1">
      <c r="M974" s="1"/>
      <c r="N974" s="1"/>
      <c r="O974" s="1"/>
      <c r="P974" s="1"/>
    </row>
    <row r="975" spans="13:16" ht="16.5" customHeight="1">
      <c r="M975" s="1"/>
      <c r="N975" s="1"/>
      <c r="O975" s="1"/>
      <c r="P975" s="1"/>
    </row>
    <row r="976" spans="13:16" ht="16.5" customHeight="1">
      <c r="M976" s="1"/>
      <c r="N976" s="1"/>
      <c r="O976" s="1"/>
      <c r="P976" s="1"/>
    </row>
    <row r="977" spans="13:16" ht="16.5" customHeight="1">
      <c r="M977" s="1"/>
      <c r="N977" s="1"/>
      <c r="O977" s="1"/>
      <c r="P977" s="1"/>
    </row>
    <row r="978" spans="13:16" ht="16.5" customHeight="1">
      <c r="M978" s="1"/>
      <c r="N978" s="1"/>
      <c r="O978" s="1"/>
      <c r="P978" s="1"/>
    </row>
    <row r="979" spans="13:16" ht="16.5" customHeight="1">
      <c r="M979" s="1"/>
      <c r="N979" s="1"/>
      <c r="O979" s="1"/>
      <c r="P979" s="1"/>
    </row>
    <row r="980" spans="13:16" ht="16.5" customHeight="1">
      <c r="M980" s="1"/>
      <c r="N980" s="1"/>
      <c r="O980" s="1"/>
      <c r="P980" s="1"/>
    </row>
    <row r="981" spans="13:16" ht="16.5" customHeight="1">
      <c r="M981" s="1"/>
      <c r="N981" s="1"/>
      <c r="O981" s="1"/>
      <c r="P981" s="1"/>
    </row>
    <row r="982" spans="13:16" ht="16.5" customHeight="1">
      <c r="M982" s="1"/>
      <c r="N982" s="1"/>
      <c r="O982" s="1"/>
      <c r="P982" s="1"/>
    </row>
    <row r="983" spans="13:16" ht="16.5" customHeight="1">
      <c r="M983" s="1"/>
      <c r="N983" s="1"/>
      <c r="O983" s="1"/>
      <c r="P983" s="1"/>
    </row>
    <row r="984" spans="13:16" ht="16.5" customHeight="1">
      <c r="M984" s="1"/>
      <c r="N984" s="1"/>
      <c r="O984" s="1"/>
      <c r="P984" s="1"/>
    </row>
    <row r="985" spans="13:16" ht="16.5" customHeight="1">
      <c r="M985" s="1"/>
      <c r="N985" s="1"/>
      <c r="O985" s="1"/>
      <c r="P985" s="1"/>
    </row>
    <row r="986" spans="13:16" ht="16.5" customHeight="1">
      <c r="M986" s="1"/>
      <c r="N986" s="1"/>
      <c r="O986" s="1"/>
      <c r="P986" s="1"/>
    </row>
    <row r="987" spans="13:16" ht="16.5" customHeight="1">
      <c r="M987" s="1"/>
      <c r="N987" s="1"/>
      <c r="O987" s="1"/>
      <c r="P987" s="1"/>
    </row>
    <row r="988" spans="13:16" ht="16.5" customHeight="1">
      <c r="M988" s="1"/>
      <c r="N988" s="1"/>
      <c r="O988" s="1"/>
      <c r="P988" s="1"/>
    </row>
    <row r="989" spans="13:16" ht="16.5" customHeight="1">
      <c r="M989" s="1"/>
      <c r="N989" s="1"/>
      <c r="O989" s="1"/>
      <c r="P989" s="1"/>
    </row>
    <row r="990" spans="13:16" ht="16.5" customHeight="1">
      <c r="M990" s="1"/>
      <c r="N990" s="1"/>
      <c r="O990" s="1"/>
      <c r="P990" s="1"/>
    </row>
    <row r="991" spans="13:16" ht="16.5" customHeight="1">
      <c r="M991" s="1"/>
      <c r="N991" s="1"/>
      <c r="O991" s="1"/>
      <c r="P991" s="1"/>
    </row>
    <row r="992" spans="13:16" ht="16.5" customHeight="1">
      <c r="M992" s="1"/>
      <c r="N992" s="1"/>
      <c r="O992" s="1"/>
      <c r="P992" s="1"/>
    </row>
    <row r="993" spans="13:16" ht="16.5" customHeight="1">
      <c r="M993" s="1"/>
      <c r="N993" s="1"/>
      <c r="O993" s="1"/>
      <c r="P993" s="1"/>
    </row>
    <row r="994" spans="13:16" ht="16.5" customHeight="1">
      <c r="M994" s="1"/>
      <c r="N994" s="1"/>
      <c r="O994" s="1"/>
      <c r="P994" s="1"/>
    </row>
    <row r="995" spans="13:16" ht="16.5" customHeight="1">
      <c r="M995" s="1"/>
      <c r="N995" s="1"/>
      <c r="O995" s="1"/>
      <c r="P995" s="1"/>
    </row>
    <row r="996" spans="13:16" ht="16.5" customHeight="1">
      <c r="M996" s="1"/>
      <c r="N996" s="1"/>
      <c r="O996" s="1"/>
      <c r="P996" s="1"/>
    </row>
    <row r="997" spans="13:16" ht="16.5" customHeight="1">
      <c r="M997" s="1"/>
      <c r="N997" s="1"/>
      <c r="O997" s="1"/>
      <c r="P997" s="1"/>
    </row>
    <row r="998" spans="13:16" ht="16.5" customHeight="1">
      <c r="M998" s="1"/>
      <c r="N998" s="1"/>
      <c r="O998" s="1"/>
      <c r="P998" s="1"/>
    </row>
    <row r="999" spans="13:16" ht="16.5" customHeight="1">
      <c r="M999" s="1"/>
      <c r="N999" s="1"/>
      <c r="O999" s="1"/>
      <c r="P999" s="1"/>
    </row>
    <row r="1000" spans="13:16" ht="16.5" customHeight="1">
      <c r="M1000" s="1"/>
      <c r="N1000" s="1"/>
      <c r="O1000" s="1"/>
      <c r="P1000" s="1"/>
    </row>
    <row r="1001" spans="13:16" ht="16.5" customHeight="1">
      <c r="M1001" s="1"/>
      <c r="N1001" s="1"/>
      <c r="O1001" s="1"/>
      <c r="P1001" s="1"/>
    </row>
    <row r="1002" spans="13:16" ht="16.5" customHeight="1">
      <c r="M1002" s="1"/>
      <c r="N1002" s="1"/>
      <c r="O1002" s="1"/>
      <c r="P1002" s="1"/>
    </row>
  </sheetData>
  <mergeCells count="345">
    <mergeCell ref="A184:L184"/>
    <mergeCell ref="A185:I185"/>
    <mergeCell ref="A186:J186"/>
    <mergeCell ref="A187:J187"/>
    <mergeCell ref="A188:L188"/>
    <mergeCell ref="A196:L196"/>
    <mergeCell ref="A179:L179"/>
    <mergeCell ref="A180:L180"/>
    <mergeCell ref="A182:G182"/>
    <mergeCell ref="H182:I182"/>
    <mergeCell ref="A183:C183"/>
    <mergeCell ref="E183:G183"/>
    <mergeCell ref="A175:B175"/>
    <mergeCell ref="K175:L175"/>
    <mergeCell ref="A176:B176"/>
    <mergeCell ref="K176:L176"/>
    <mergeCell ref="A177:H177"/>
    <mergeCell ref="A178:L178"/>
    <mergeCell ref="A172:B172"/>
    <mergeCell ref="K172:L172"/>
    <mergeCell ref="A173:B173"/>
    <mergeCell ref="K173:L173"/>
    <mergeCell ref="A174:B174"/>
    <mergeCell ref="K174:L174"/>
    <mergeCell ref="A169:B169"/>
    <mergeCell ref="K169:L169"/>
    <mergeCell ref="A170:B170"/>
    <mergeCell ref="K170:L170"/>
    <mergeCell ref="A171:B171"/>
    <mergeCell ref="K171:L171"/>
    <mergeCell ref="A166:B166"/>
    <mergeCell ref="K166:L166"/>
    <mergeCell ref="A167:B167"/>
    <mergeCell ref="K167:L167"/>
    <mergeCell ref="A168:B168"/>
    <mergeCell ref="K168:L168"/>
    <mergeCell ref="A163:B163"/>
    <mergeCell ref="K163:L163"/>
    <mergeCell ref="A164:B164"/>
    <mergeCell ref="K164:L164"/>
    <mergeCell ref="A165:B165"/>
    <mergeCell ref="K165:L165"/>
    <mergeCell ref="A160:B160"/>
    <mergeCell ref="K160:L160"/>
    <mergeCell ref="A161:B161"/>
    <mergeCell ref="K161:L161"/>
    <mergeCell ref="A162:B162"/>
    <mergeCell ref="K162:L162"/>
    <mergeCell ref="A157:B157"/>
    <mergeCell ref="K157:L157"/>
    <mergeCell ref="A158:B158"/>
    <mergeCell ref="K158:L158"/>
    <mergeCell ref="A159:B159"/>
    <mergeCell ref="K159:L159"/>
    <mergeCell ref="A154:B154"/>
    <mergeCell ref="K154:L154"/>
    <mergeCell ref="A155:B155"/>
    <mergeCell ref="K155:L155"/>
    <mergeCell ref="A156:B156"/>
    <mergeCell ref="K156:L156"/>
    <mergeCell ref="A151:B151"/>
    <mergeCell ref="K151:L151"/>
    <mergeCell ref="A152:B152"/>
    <mergeCell ref="K152:L152"/>
    <mergeCell ref="A153:B153"/>
    <mergeCell ref="K153:L153"/>
    <mergeCell ref="A148:B148"/>
    <mergeCell ref="K148:L148"/>
    <mergeCell ref="A149:B149"/>
    <mergeCell ref="K149:L149"/>
    <mergeCell ref="A150:B150"/>
    <mergeCell ref="K150:L150"/>
    <mergeCell ref="A145:B145"/>
    <mergeCell ref="K145:L145"/>
    <mergeCell ref="A146:B146"/>
    <mergeCell ref="K146:L146"/>
    <mergeCell ref="A147:B147"/>
    <mergeCell ref="K147:L147"/>
    <mergeCell ref="A142:B142"/>
    <mergeCell ref="K142:L142"/>
    <mergeCell ref="A143:B143"/>
    <mergeCell ref="K143:L143"/>
    <mergeCell ref="A144:B144"/>
    <mergeCell ref="K144:L144"/>
    <mergeCell ref="A139:B139"/>
    <mergeCell ref="K139:L139"/>
    <mergeCell ref="A140:B140"/>
    <mergeCell ref="K140:L140"/>
    <mergeCell ref="A141:B141"/>
    <mergeCell ref="K141:L141"/>
    <mergeCell ref="A136:B136"/>
    <mergeCell ref="K136:L136"/>
    <mergeCell ref="A137:B137"/>
    <mergeCell ref="K137:L137"/>
    <mergeCell ref="A138:B138"/>
    <mergeCell ref="K138:L138"/>
    <mergeCell ref="A133:B133"/>
    <mergeCell ref="K133:L133"/>
    <mergeCell ref="A134:B134"/>
    <mergeCell ref="K134:L134"/>
    <mergeCell ref="A135:B135"/>
    <mergeCell ref="K135:L135"/>
    <mergeCell ref="A130:B130"/>
    <mergeCell ref="K130:L130"/>
    <mergeCell ref="A131:B131"/>
    <mergeCell ref="K131:L131"/>
    <mergeCell ref="A132:B132"/>
    <mergeCell ref="K132:L132"/>
    <mergeCell ref="A127:B127"/>
    <mergeCell ref="K127:L127"/>
    <mergeCell ref="A128:B128"/>
    <mergeCell ref="K128:L128"/>
    <mergeCell ref="A129:B129"/>
    <mergeCell ref="K129:L129"/>
    <mergeCell ref="A124:B124"/>
    <mergeCell ref="K124:L124"/>
    <mergeCell ref="A125:B125"/>
    <mergeCell ref="K125:L125"/>
    <mergeCell ref="A126:B126"/>
    <mergeCell ref="K126:L126"/>
    <mergeCell ref="A121:B121"/>
    <mergeCell ref="K121:L121"/>
    <mergeCell ref="A122:B122"/>
    <mergeCell ref="K122:L122"/>
    <mergeCell ref="A123:B123"/>
    <mergeCell ref="K123:L123"/>
    <mergeCell ref="A118:B118"/>
    <mergeCell ref="K118:L118"/>
    <mergeCell ref="A119:B119"/>
    <mergeCell ref="K119:L119"/>
    <mergeCell ref="A120:B120"/>
    <mergeCell ref="K120:L120"/>
    <mergeCell ref="A115:B115"/>
    <mergeCell ref="K115:L115"/>
    <mergeCell ref="A116:B116"/>
    <mergeCell ref="K116:L116"/>
    <mergeCell ref="A117:B117"/>
    <mergeCell ref="K117:L117"/>
    <mergeCell ref="A112:B112"/>
    <mergeCell ref="K112:L112"/>
    <mergeCell ref="A113:B113"/>
    <mergeCell ref="K113:L113"/>
    <mergeCell ref="A114:B114"/>
    <mergeCell ref="K114:L114"/>
    <mergeCell ref="A109:B109"/>
    <mergeCell ref="K109:L109"/>
    <mergeCell ref="A110:B110"/>
    <mergeCell ref="K110:L110"/>
    <mergeCell ref="A111:B111"/>
    <mergeCell ref="K111:L111"/>
    <mergeCell ref="A106:B106"/>
    <mergeCell ref="K106:L106"/>
    <mergeCell ref="A107:B107"/>
    <mergeCell ref="K107:L107"/>
    <mergeCell ref="A108:B108"/>
    <mergeCell ref="K108:L108"/>
    <mergeCell ref="A103:B103"/>
    <mergeCell ref="K103:L103"/>
    <mergeCell ref="A104:B104"/>
    <mergeCell ref="K104:L104"/>
    <mergeCell ref="A105:B105"/>
    <mergeCell ref="K105:L105"/>
    <mergeCell ref="A100:B100"/>
    <mergeCell ref="K100:L100"/>
    <mergeCell ref="A101:B101"/>
    <mergeCell ref="K101:L101"/>
    <mergeCell ref="A102:B102"/>
    <mergeCell ref="K102:L102"/>
    <mergeCell ref="A97:B97"/>
    <mergeCell ref="K97:L97"/>
    <mergeCell ref="A98:B98"/>
    <mergeCell ref="K98:L98"/>
    <mergeCell ref="A99:B99"/>
    <mergeCell ref="K99:L99"/>
    <mergeCell ref="A94:B94"/>
    <mergeCell ref="K94:L94"/>
    <mergeCell ref="A95:B95"/>
    <mergeCell ref="K95:L95"/>
    <mergeCell ref="A96:B96"/>
    <mergeCell ref="K96:L96"/>
    <mergeCell ref="A91:B91"/>
    <mergeCell ref="K91:L91"/>
    <mergeCell ref="A92:B92"/>
    <mergeCell ref="K92:L92"/>
    <mergeCell ref="A93:B93"/>
    <mergeCell ref="K93:L93"/>
    <mergeCell ref="A88:B88"/>
    <mergeCell ref="K88:L88"/>
    <mergeCell ref="A89:B89"/>
    <mergeCell ref="K89:L89"/>
    <mergeCell ref="A90:B90"/>
    <mergeCell ref="K90:L90"/>
    <mergeCell ref="A85:B85"/>
    <mergeCell ref="K85:L85"/>
    <mergeCell ref="A86:B86"/>
    <mergeCell ref="K86:L86"/>
    <mergeCell ref="A87:B87"/>
    <mergeCell ref="K87:L87"/>
    <mergeCell ref="A82:B82"/>
    <mergeCell ref="K82:L82"/>
    <mergeCell ref="A83:B83"/>
    <mergeCell ref="K83:L83"/>
    <mergeCell ref="A84:B84"/>
    <mergeCell ref="K84:L84"/>
    <mergeCell ref="A79:B79"/>
    <mergeCell ref="K79:L79"/>
    <mergeCell ref="A80:B80"/>
    <mergeCell ref="K80:L80"/>
    <mergeCell ref="A81:B81"/>
    <mergeCell ref="K81:L81"/>
    <mergeCell ref="A76:B76"/>
    <mergeCell ref="K76:L76"/>
    <mergeCell ref="A77:B77"/>
    <mergeCell ref="K77:L77"/>
    <mergeCell ref="A78:B78"/>
    <mergeCell ref="K78:L78"/>
    <mergeCell ref="A73:B73"/>
    <mergeCell ref="K73:L73"/>
    <mergeCell ref="A74:B74"/>
    <mergeCell ref="K74:L74"/>
    <mergeCell ref="A75:B75"/>
    <mergeCell ref="K75:L75"/>
    <mergeCell ref="A70:B70"/>
    <mergeCell ref="K70:L70"/>
    <mergeCell ref="A71:B71"/>
    <mergeCell ref="K71:L71"/>
    <mergeCell ref="A72:B72"/>
    <mergeCell ref="K72:L72"/>
    <mergeCell ref="A67:B67"/>
    <mergeCell ref="K67:L67"/>
    <mergeCell ref="A68:B68"/>
    <mergeCell ref="K68:L68"/>
    <mergeCell ref="A69:B69"/>
    <mergeCell ref="K69:L69"/>
    <mergeCell ref="A64:B64"/>
    <mergeCell ref="K64:L64"/>
    <mergeCell ref="A65:B65"/>
    <mergeCell ref="K65:L65"/>
    <mergeCell ref="A66:B66"/>
    <mergeCell ref="K66:L66"/>
    <mergeCell ref="A61:B61"/>
    <mergeCell ref="K61:L61"/>
    <mergeCell ref="A62:B62"/>
    <mergeCell ref="K62:L62"/>
    <mergeCell ref="A63:B63"/>
    <mergeCell ref="K63:L63"/>
    <mergeCell ref="A58:B58"/>
    <mergeCell ref="K58:L58"/>
    <mergeCell ref="A59:B59"/>
    <mergeCell ref="K59:L59"/>
    <mergeCell ref="A60:B60"/>
    <mergeCell ref="K60:L60"/>
    <mergeCell ref="A55:B55"/>
    <mergeCell ref="K55:L55"/>
    <mergeCell ref="A56:B56"/>
    <mergeCell ref="K56:L56"/>
    <mergeCell ref="A57:B57"/>
    <mergeCell ref="K57:L57"/>
    <mergeCell ref="A52:B52"/>
    <mergeCell ref="K52:L52"/>
    <mergeCell ref="A53:B53"/>
    <mergeCell ref="K53:L53"/>
    <mergeCell ref="A54:B54"/>
    <mergeCell ref="K54:L54"/>
    <mergeCell ref="A49:B49"/>
    <mergeCell ref="K49:L49"/>
    <mergeCell ref="A50:B50"/>
    <mergeCell ref="K50:L50"/>
    <mergeCell ref="A51:B51"/>
    <mergeCell ref="K51:L51"/>
    <mergeCell ref="A46:B46"/>
    <mergeCell ref="K46:L46"/>
    <mergeCell ref="A47:B47"/>
    <mergeCell ref="K47:L47"/>
    <mergeCell ref="A48:B48"/>
    <mergeCell ref="K48:L48"/>
    <mergeCell ref="A43:B43"/>
    <mergeCell ref="K43:L43"/>
    <mergeCell ref="A44:B44"/>
    <mergeCell ref="K44:L44"/>
    <mergeCell ref="A45:B45"/>
    <mergeCell ref="K45:L45"/>
    <mergeCell ref="A40:B40"/>
    <mergeCell ref="K40:L40"/>
    <mergeCell ref="A41:B41"/>
    <mergeCell ref="K41:L41"/>
    <mergeCell ref="A42:B42"/>
    <mergeCell ref="K42:L42"/>
    <mergeCell ref="A37:B37"/>
    <mergeCell ref="K37:L37"/>
    <mergeCell ref="A38:B38"/>
    <mergeCell ref="K38:L38"/>
    <mergeCell ref="A39:B39"/>
    <mergeCell ref="K39:L39"/>
    <mergeCell ref="A34:B34"/>
    <mergeCell ref="K34:L34"/>
    <mergeCell ref="A35:B35"/>
    <mergeCell ref="K35:L35"/>
    <mergeCell ref="A36:B36"/>
    <mergeCell ref="K36:L36"/>
    <mergeCell ref="A31:B31"/>
    <mergeCell ref="K31:L31"/>
    <mergeCell ref="A32:B32"/>
    <mergeCell ref="K32:L32"/>
    <mergeCell ref="A33:B33"/>
    <mergeCell ref="K33:L33"/>
    <mergeCell ref="A28:B28"/>
    <mergeCell ref="K28:L28"/>
    <mergeCell ref="A29:B29"/>
    <mergeCell ref="K29:L29"/>
    <mergeCell ref="A30:B30"/>
    <mergeCell ref="K30:L30"/>
    <mergeCell ref="A25:B25"/>
    <mergeCell ref="K25:L25"/>
    <mergeCell ref="A26:B26"/>
    <mergeCell ref="K26:L26"/>
    <mergeCell ref="A27:B27"/>
    <mergeCell ref="K27:L27"/>
    <mergeCell ref="A21:L21"/>
    <mergeCell ref="D22:J22"/>
    <mergeCell ref="K22:L22"/>
    <mergeCell ref="A23:B23"/>
    <mergeCell ref="K23:L23"/>
    <mergeCell ref="A24:B24"/>
    <mergeCell ref="K24:L24"/>
    <mergeCell ref="A18:K18"/>
    <mergeCell ref="A19:K19"/>
    <mergeCell ref="A20:L20"/>
    <mergeCell ref="A8:L8"/>
    <mergeCell ref="A10:L10"/>
    <mergeCell ref="E11:F11"/>
    <mergeCell ref="A13:F13"/>
    <mergeCell ref="G13:H13"/>
    <mergeCell ref="A14:E14"/>
    <mergeCell ref="F14:G14"/>
    <mergeCell ref="I14:J14"/>
    <mergeCell ref="A2:L2"/>
    <mergeCell ref="A3:L3"/>
    <mergeCell ref="A4:L4"/>
    <mergeCell ref="A5:L5"/>
    <mergeCell ref="A6:L6"/>
    <mergeCell ref="A7:L7"/>
    <mergeCell ref="A15:L15"/>
    <mergeCell ref="A16:F16"/>
    <mergeCell ref="G16:H16"/>
  </mergeCells>
  <phoneticPr fontId="46" type="noConversion"/>
  <printOptions horizontalCentered="1"/>
  <pageMargins left="0.23622047244094491" right="0.23622047244094491" top="0.35433070866141736" bottom="0.15748031496062992" header="0.31496062992125984" footer="0.31496062992125984"/>
  <pageSetup paperSize="9" scale="5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115-3</vt:lpstr>
      <vt:lpstr>'115-3'!Print_Area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董宜瑄</cp:lastModifiedBy>
  <cp:lastPrinted>2026-10-14T06:19:40Z</cp:lastPrinted>
  <dcterms:created xsi:type="dcterms:W3CDTF">2026-07-14T02:06:00Z</dcterms:created>
  <dcterms:modified xsi:type="dcterms:W3CDTF">2026-10-16T02:46:23Z</dcterms:modified>
</cp:coreProperties>
</file>