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fa06740\Desktop\115年季報表\115-01\"/>
    </mc:Choice>
  </mc:AlternateContent>
  <xr:revisionPtr revIDLastSave="0" documentId="13_ncr:1_{DB3F2242-7838-422E-8457-7B1C98581132}" xr6:coauthVersionLast="47" xr6:coauthVersionMax="47" xr10:uidLastSave="{00000000-0000-0000-0000-000000000000}"/>
  <bookViews>
    <workbookView xWindow="-120" yWindow="-120" windowWidth="29040" windowHeight="15720" xr2:uid="{9A881865-8F96-4123-8D9F-C0E73B3D20DC}"/>
  </bookViews>
  <sheets>
    <sheet name="115-1" sheetId="1" r:id="rId1"/>
  </sheets>
  <definedNames>
    <definedName name="_xlnm._FilterDatabase" localSheetId="0" hidden="1">'115-1'!$A$23:$P$186</definedName>
    <definedName name="_xlnm.Print_Area" localSheetId="0">'115-1'!$A$2:$L$194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I174" i="1" l="1"/>
  <c r="J174" i="1" s="1"/>
  <c r="H174" i="1"/>
  <c r="G174" i="1"/>
  <c r="F174" i="1"/>
  <c r="E174" i="1"/>
  <c r="C174" i="1"/>
  <c r="I173" i="1"/>
  <c r="H173" i="1"/>
  <c r="H175" i="1" s="1"/>
  <c r="G173" i="1"/>
  <c r="G175" i="1" s="1"/>
  <c r="F173" i="1"/>
  <c r="E173" i="1"/>
  <c r="D173" i="1"/>
  <c r="C173" i="1"/>
  <c r="I172" i="1"/>
  <c r="J172" i="1" s="1"/>
  <c r="H170" i="1"/>
  <c r="G170" i="1"/>
  <c r="F170" i="1"/>
  <c r="E170" i="1"/>
  <c r="D170" i="1"/>
  <c r="C170" i="1"/>
  <c r="I169" i="1"/>
  <c r="J169" i="1" s="1"/>
  <c r="H167" i="1"/>
  <c r="G167" i="1"/>
  <c r="F167" i="1"/>
  <c r="E167" i="1"/>
  <c r="D167" i="1"/>
  <c r="C167" i="1"/>
  <c r="H166" i="1"/>
  <c r="G166" i="1"/>
  <c r="F166" i="1"/>
  <c r="E166" i="1"/>
  <c r="I166" i="1" s="1"/>
  <c r="J166" i="1" s="1"/>
  <c r="D166" i="1"/>
  <c r="C166" i="1"/>
  <c r="H164" i="1"/>
  <c r="G164" i="1"/>
  <c r="F164" i="1"/>
  <c r="E164" i="1"/>
  <c r="D164" i="1"/>
  <c r="C164" i="1"/>
  <c r="J163" i="1"/>
  <c r="I163" i="1"/>
  <c r="I164" i="1" s="1"/>
  <c r="J162" i="1"/>
  <c r="I162" i="1"/>
  <c r="C162" i="1"/>
  <c r="I161" i="1"/>
  <c r="J161" i="1" s="1"/>
  <c r="I160" i="1"/>
  <c r="J160" i="1" s="1"/>
  <c r="I159" i="1"/>
  <c r="J159" i="1" s="1"/>
  <c r="I158" i="1"/>
  <c r="J158" i="1" s="1"/>
  <c r="H156" i="1"/>
  <c r="G156" i="1"/>
  <c r="F156" i="1"/>
  <c r="E156" i="1"/>
  <c r="D156" i="1"/>
  <c r="C156" i="1"/>
  <c r="I155" i="1"/>
  <c r="J155" i="1" s="1"/>
  <c r="J154" i="1"/>
  <c r="I154" i="1"/>
  <c r="I153" i="1"/>
  <c r="J153" i="1" s="1"/>
  <c r="I152" i="1"/>
  <c r="J152" i="1" s="1"/>
  <c r="I151" i="1"/>
  <c r="J151" i="1" s="1"/>
  <c r="I150" i="1"/>
  <c r="J150" i="1" s="1"/>
  <c r="I149" i="1"/>
  <c r="J149" i="1" s="1"/>
  <c r="I148" i="1"/>
  <c r="C148" i="1"/>
  <c r="I147" i="1"/>
  <c r="J147" i="1" s="1"/>
  <c r="I146" i="1"/>
  <c r="J146" i="1" s="1"/>
  <c r="C146" i="1"/>
  <c r="J145" i="1"/>
  <c r="I145" i="1"/>
  <c r="I144" i="1"/>
  <c r="J144" i="1" s="1"/>
  <c r="C144" i="1"/>
  <c r="I143" i="1"/>
  <c r="J143" i="1" s="1"/>
  <c r="C143" i="1"/>
  <c r="I142" i="1"/>
  <c r="J142" i="1" s="1"/>
  <c r="I141" i="1"/>
  <c r="J141" i="1" s="1"/>
  <c r="C141" i="1"/>
  <c r="I140" i="1"/>
  <c r="J140" i="1" s="1"/>
  <c r="I139" i="1"/>
  <c r="J139" i="1" s="1"/>
  <c r="C139" i="1"/>
  <c r="I138" i="1"/>
  <c r="J138" i="1" s="1"/>
  <c r="J137" i="1"/>
  <c r="I137" i="1"/>
  <c r="I136" i="1"/>
  <c r="J136" i="1" s="1"/>
  <c r="I135" i="1"/>
  <c r="J135" i="1" s="1"/>
  <c r="H133" i="1"/>
  <c r="G133" i="1"/>
  <c r="F133" i="1"/>
  <c r="E133" i="1"/>
  <c r="D133" i="1"/>
  <c r="I132" i="1"/>
  <c r="J132" i="1" s="1"/>
  <c r="C132" i="1"/>
  <c r="I131" i="1"/>
  <c r="J131" i="1" s="1"/>
  <c r="C131" i="1"/>
  <c r="J130" i="1"/>
  <c r="I130" i="1"/>
  <c r="C130" i="1"/>
  <c r="I129" i="1"/>
  <c r="J129" i="1" s="1"/>
  <c r="C129" i="1"/>
  <c r="I128" i="1"/>
  <c r="J128" i="1" s="1"/>
  <c r="I127" i="1"/>
  <c r="J127" i="1" s="1"/>
  <c r="I126" i="1"/>
  <c r="J126" i="1" s="1"/>
  <c r="I125" i="1"/>
  <c r="C125" i="1"/>
  <c r="I124" i="1"/>
  <c r="J124" i="1" s="1"/>
  <c r="C124" i="1"/>
  <c r="C133" i="1" s="1"/>
  <c r="I123" i="1"/>
  <c r="J123" i="1" s="1"/>
  <c r="C123" i="1"/>
  <c r="I122" i="1"/>
  <c r="J122" i="1" s="1"/>
  <c r="I121" i="1"/>
  <c r="J121" i="1" s="1"/>
  <c r="C121" i="1"/>
  <c r="I120" i="1"/>
  <c r="J120" i="1" s="1"/>
  <c r="C120" i="1"/>
  <c r="H118" i="1"/>
  <c r="G118" i="1"/>
  <c r="F118" i="1"/>
  <c r="E118" i="1"/>
  <c r="D118" i="1"/>
  <c r="I117" i="1"/>
  <c r="J117" i="1" s="1"/>
  <c r="C117" i="1"/>
  <c r="J116" i="1"/>
  <c r="I116" i="1"/>
  <c r="I115" i="1"/>
  <c r="J115" i="1" s="1"/>
  <c r="C115" i="1"/>
  <c r="I114" i="1"/>
  <c r="J114" i="1" s="1"/>
  <c r="I113" i="1"/>
  <c r="J113" i="1" s="1"/>
  <c r="I112" i="1"/>
  <c r="J112" i="1" s="1"/>
  <c r="C112" i="1"/>
  <c r="I111" i="1"/>
  <c r="C111" i="1"/>
  <c r="I110" i="1"/>
  <c r="J110" i="1" s="1"/>
  <c r="C110" i="1"/>
  <c r="I109" i="1"/>
  <c r="J109" i="1" s="1"/>
  <c r="C109" i="1"/>
  <c r="I108" i="1"/>
  <c r="J108" i="1" s="1"/>
  <c r="C108" i="1"/>
  <c r="I107" i="1"/>
  <c r="J107" i="1" s="1"/>
  <c r="C107" i="1"/>
  <c r="I106" i="1"/>
  <c r="J106" i="1" s="1"/>
  <c r="C106" i="1"/>
  <c r="I105" i="1"/>
  <c r="J105" i="1" s="1"/>
  <c r="C105" i="1"/>
  <c r="I104" i="1"/>
  <c r="C104" i="1"/>
  <c r="I103" i="1"/>
  <c r="J103" i="1" s="1"/>
  <c r="I102" i="1"/>
  <c r="J102" i="1" s="1"/>
  <c r="C102" i="1"/>
  <c r="I101" i="1"/>
  <c r="J101" i="1" s="1"/>
  <c r="C101" i="1"/>
  <c r="I100" i="1"/>
  <c r="J100" i="1" s="1"/>
  <c r="C100" i="1"/>
  <c r="I99" i="1"/>
  <c r="J99" i="1" s="1"/>
  <c r="C99" i="1"/>
  <c r="I98" i="1"/>
  <c r="J98" i="1" s="1"/>
  <c r="I97" i="1"/>
  <c r="C97" i="1"/>
  <c r="I96" i="1"/>
  <c r="J96" i="1" s="1"/>
  <c r="C96" i="1"/>
  <c r="C118" i="1" s="1"/>
  <c r="I95" i="1"/>
  <c r="I118" i="1" s="1"/>
  <c r="C95" i="1"/>
  <c r="I94" i="1"/>
  <c r="J94" i="1" s="1"/>
  <c r="I93" i="1"/>
  <c r="J93" i="1" s="1"/>
  <c r="I92" i="1"/>
  <c r="J92" i="1" s="1"/>
  <c r="C92" i="1"/>
  <c r="I91" i="1"/>
  <c r="J91" i="1" s="1"/>
  <c r="H89" i="1"/>
  <c r="G89" i="1"/>
  <c r="F89" i="1"/>
  <c r="E89" i="1"/>
  <c r="D89" i="1"/>
  <c r="I88" i="1"/>
  <c r="J88" i="1" s="1"/>
  <c r="J87" i="1"/>
  <c r="I87" i="1"/>
  <c r="C87" i="1"/>
  <c r="I86" i="1"/>
  <c r="J86" i="1" s="1"/>
  <c r="I85" i="1"/>
  <c r="J85" i="1" s="1"/>
  <c r="I84" i="1"/>
  <c r="J84" i="1" s="1"/>
  <c r="C84" i="1"/>
  <c r="I83" i="1"/>
  <c r="J83" i="1" s="1"/>
  <c r="I82" i="1"/>
  <c r="C82" i="1"/>
  <c r="I81" i="1"/>
  <c r="C81" i="1"/>
  <c r="J81" i="1" s="1"/>
  <c r="I80" i="1"/>
  <c r="J80" i="1" s="1"/>
  <c r="C80" i="1"/>
  <c r="I79" i="1"/>
  <c r="J79" i="1" s="1"/>
  <c r="C79" i="1"/>
  <c r="I78" i="1"/>
  <c r="J78" i="1" s="1"/>
  <c r="I77" i="1"/>
  <c r="J77" i="1" s="1"/>
  <c r="C77" i="1"/>
  <c r="I76" i="1"/>
  <c r="J76" i="1" s="1"/>
  <c r="I75" i="1"/>
  <c r="J75" i="1" s="1"/>
  <c r="I74" i="1"/>
  <c r="C74" i="1"/>
  <c r="C89" i="1" s="1"/>
  <c r="I73" i="1"/>
  <c r="I89" i="1" s="1"/>
  <c r="C73" i="1"/>
  <c r="J72" i="1"/>
  <c r="I72" i="1"/>
  <c r="I71" i="1"/>
  <c r="J71" i="1" s="1"/>
  <c r="I70" i="1"/>
  <c r="J70" i="1" s="1"/>
  <c r="C70" i="1"/>
  <c r="I69" i="1"/>
  <c r="J69" i="1" s="1"/>
  <c r="C69" i="1"/>
  <c r="H67" i="1"/>
  <c r="G67" i="1"/>
  <c r="F67" i="1"/>
  <c r="E67" i="1"/>
  <c r="D67" i="1"/>
  <c r="C67" i="1"/>
  <c r="I66" i="1"/>
  <c r="I67" i="1" s="1"/>
  <c r="J67" i="1" s="1"/>
  <c r="J65" i="1"/>
  <c r="I65" i="1"/>
  <c r="I64" i="1"/>
  <c r="J64" i="1" s="1"/>
  <c r="I63" i="1"/>
  <c r="J63" i="1" s="1"/>
  <c r="I62" i="1"/>
  <c r="J62" i="1" s="1"/>
  <c r="C62" i="1"/>
  <c r="I61" i="1"/>
  <c r="J61" i="1" s="1"/>
  <c r="C61" i="1"/>
  <c r="H59" i="1"/>
  <c r="G59" i="1"/>
  <c r="F59" i="1"/>
  <c r="E59" i="1"/>
  <c r="D59" i="1"/>
  <c r="J58" i="1"/>
  <c r="I58" i="1"/>
  <c r="I57" i="1"/>
  <c r="J57" i="1" s="1"/>
  <c r="D57" i="1"/>
  <c r="I56" i="1"/>
  <c r="J56" i="1" s="1"/>
  <c r="C56" i="1"/>
  <c r="I55" i="1"/>
  <c r="J55" i="1" s="1"/>
  <c r="I54" i="1"/>
  <c r="J54" i="1" s="1"/>
  <c r="I53" i="1"/>
  <c r="J53" i="1" s="1"/>
  <c r="I52" i="1"/>
  <c r="J52" i="1" s="1"/>
  <c r="C52" i="1"/>
  <c r="I51" i="1"/>
  <c r="J51" i="1" s="1"/>
  <c r="C51" i="1"/>
  <c r="J50" i="1"/>
  <c r="I50" i="1"/>
  <c r="I49" i="1"/>
  <c r="J49" i="1" s="1"/>
  <c r="I48" i="1"/>
  <c r="J48" i="1" s="1"/>
  <c r="I47" i="1"/>
  <c r="J47" i="1" s="1"/>
  <c r="C47" i="1"/>
  <c r="I46" i="1"/>
  <c r="J46" i="1" s="1"/>
  <c r="C46" i="1"/>
  <c r="I45" i="1"/>
  <c r="J45" i="1" s="1"/>
  <c r="C45" i="1"/>
  <c r="I44" i="1"/>
  <c r="J44" i="1" s="1"/>
  <c r="C44" i="1"/>
  <c r="I43" i="1"/>
  <c r="J43" i="1" s="1"/>
  <c r="J42" i="1"/>
  <c r="I42" i="1"/>
  <c r="I41" i="1"/>
  <c r="J41" i="1" s="1"/>
  <c r="I40" i="1"/>
  <c r="J40" i="1" s="1"/>
  <c r="I39" i="1"/>
  <c r="J39" i="1" s="1"/>
  <c r="I38" i="1"/>
  <c r="J38" i="1" s="1"/>
  <c r="C38" i="1"/>
  <c r="I37" i="1"/>
  <c r="J37" i="1" s="1"/>
  <c r="C37" i="1"/>
  <c r="I36" i="1"/>
  <c r="C36" i="1"/>
  <c r="I35" i="1"/>
  <c r="J35" i="1" s="1"/>
  <c r="C35" i="1"/>
  <c r="J34" i="1"/>
  <c r="I34" i="1"/>
  <c r="C34" i="1"/>
  <c r="I33" i="1"/>
  <c r="J33" i="1" s="1"/>
  <c r="C33" i="1"/>
  <c r="I32" i="1"/>
  <c r="J32" i="1" s="1"/>
  <c r="C32" i="1"/>
  <c r="I31" i="1"/>
  <c r="J31" i="1" s="1"/>
  <c r="C31" i="1"/>
  <c r="I30" i="1"/>
  <c r="J30" i="1" s="1"/>
  <c r="C30" i="1"/>
  <c r="I29" i="1"/>
  <c r="J29" i="1" s="1"/>
  <c r="C29" i="1"/>
  <c r="I28" i="1"/>
  <c r="C28" i="1"/>
  <c r="C59" i="1" s="1"/>
  <c r="J27" i="1"/>
  <c r="I27" i="1"/>
  <c r="C27" i="1"/>
  <c r="I26" i="1"/>
  <c r="J26" i="1" s="1"/>
  <c r="F14" i="1"/>
  <c r="G13" i="1"/>
  <c r="J95" i="1" l="1"/>
  <c r="J66" i="1"/>
  <c r="J73" i="1"/>
  <c r="J118" i="1"/>
  <c r="D175" i="1"/>
  <c r="J97" i="1"/>
  <c r="I59" i="1"/>
  <c r="J59" i="1" s="1"/>
  <c r="J148" i="1"/>
  <c r="J164" i="1"/>
  <c r="I167" i="1"/>
  <c r="J167" i="1" s="1"/>
  <c r="J173" i="1"/>
  <c r="J28" i="1"/>
  <c r="J89" i="1"/>
  <c r="J104" i="1"/>
  <c r="J74" i="1"/>
  <c r="E175" i="1"/>
  <c r="J125" i="1"/>
  <c r="C175" i="1"/>
  <c r="F175" i="1"/>
  <c r="J36" i="1"/>
  <c r="I156" i="1"/>
  <c r="J156" i="1" s="1"/>
  <c r="J111" i="1"/>
  <c r="J82" i="1"/>
  <c r="I170" i="1"/>
  <c r="J170" i="1" s="1"/>
  <c r="I133" i="1"/>
  <c r="J133" i="1" s="1"/>
  <c r="I175" i="1" l="1"/>
  <c r="H181" i="1" l="1"/>
  <c r="J175" i="1"/>
</calcChain>
</file>

<file path=xl/sharedStrings.xml><?xml version="1.0" encoding="utf-8"?>
<sst xmlns="http://schemas.openxmlformats.org/spreadsheetml/2006/main" count="342" uniqueCount="232">
  <si>
    <t>澎湖縣政府</t>
    <phoneticPr fontId="1" type="noConversion"/>
  </si>
  <si>
    <t>公益彩券盈餘分配辦理社會福利事業情形季報表</t>
    <phoneticPr fontId="1" type="noConversion"/>
  </si>
  <si>
    <r>
      <t>中華民國</t>
    </r>
    <r>
      <rPr>
        <b/>
        <sz val="14"/>
        <color rgb="FFFF0000"/>
        <rFont val="標楷體"/>
        <family val="4"/>
        <charset val="136"/>
      </rPr>
      <t>115</t>
    </r>
    <r>
      <rPr>
        <b/>
        <sz val="14"/>
        <color indexed="8"/>
        <rFont val="標楷體"/>
        <family val="4"/>
        <charset val="136"/>
      </rPr>
      <t>年</t>
    </r>
    <r>
      <rPr>
        <b/>
        <sz val="14"/>
        <color rgb="FFFF0000"/>
        <rFont val="標楷體"/>
        <family val="4"/>
        <charset val="136"/>
      </rPr>
      <t>1</t>
    </r>
    <r>
      <rPr>
        <b/>
        <sz val="14"/>
        <color indexed="8"/>
        <rFont val="標楷體"/>
        <family val="4"/>
        <charset val="136"/>
      </rPr>
      <t>月份至</t>
    </r>
    <r>
      <rPr>
        <b/>
        <sz val="14"/>
        <color rgb="FFFF0000"/>
        <rFont val="標楷體"/>
        <family val="4"/>
        <charset val="136"/>
      </rPr>
      <t>3</t>
    </r>
    <r>
      <rPr>
        <b/>
        <sz val="14"/>
        <color indexed="8"/>
        <rFont val="標楷體"/>
        <family val="4"/>
        <charset val="136"/>
      </rPr>
      <t>月份（</t>
    </r>
    <r>
      <rPr>
        <b/>
        <sz val="14"/>
        <color rgb="FFFF0000"/>
        <rFont val="標楷體"/>
        <family val="4"/>
        <charset val="136"/>
      </rPr>
      <t>115</t>
    </r>
    <r>
      <rPr>
        <b/>
        <sz val="14"/>
        <color indexed="8"/>
        <rFont val="標楷體"/>
        <family val="4"/>
        <charset val="136"/>
      </rPr>
      <t>年度第</t>
    </r>
    <r>
      <rPr>
        <b/>
        <sz val="14"/>
        <color rgb="FFFF0000"/>
        <rFont val="標楷體"/>
        <family val="4"/>
        <charset val="136"/>
      </rPr>
      <t>1</t>
    </r>
    <r>
      <rPr>
        <b/>
        <sz val="14"/>
        <color indexed="8"/>
        <rFont val="標楷體"/>
        <family val="4"/>
        <charset val="136"/>
      </rPr>
      <t>季）</t>
    </r>
    <phoneticPr fontId="1" type="noConversion"/>
  </si>
  <si>
    <t>一、公益彩券盈餘分配款項管理方式：□基金管理■收支併列。</t>
    <phoneticPr fontId="1" type="noConversion"/>
  </si>
  <si>
    <t>二、公庫向公益彩券盈餘基金或專戶調借情形：</t>
  </si>
  <si>
    <t xml:space="preserve">    ■納入集中支付(計息：■是、□否)</t>
    <phoneticPr fontId="1" type="noConversion"/>
  </si>
  <si>
    <t xml:space="preserve">    □未納入集中支付</t>
  </si>
  <si>
    <t xml:space="preserve">      □未調借</t>
  </si>
  <si>
    <r>
      <t xml:space="preserve">      □調借，計息：□是、□否，未歸墊金額總計</t>
    </r>
    <r>
      <rPr>
        <u/>
        <sz val="14"/>
        <color indexed="8"/>
        <rFont val="標楷體"/>
        <family val="4"/>
        <charset val="136"/>
      </rPr>
      <t xml:space="preserve">              </t>
    </r>
    <r>
      <rPr>
        <sz val="14"/>
        <color indexed="8"/>
        <rFont val="標楷體"/>
        <family val="4"/>
        <charset val="136"/>
      </rPr>
      <t>。</t>
    </r>
  </si>
  <si>
    <r>
      <t>三、本年度第</t>
    </r>
    <r>
      <rPr>
        <u/>
        <sz val="14"/>
        <color rgb="FFFF0000"/>
        <rFont val="標楷體"/>
        <family val="4"/>
        <charset val="136"/>
      </rPr>
      <t>1</t>
    </r>
    <r>
      <rPr>
        <sz val="14"/>
        <color indexed="8"/>
        <rFont val="標楷體"/>
        <family val="4"/>
        <charset val="136"/>
      </rPr>
      <t>季，彩券盈餘分配數為</t>
    </r>
    <phoneticPr fontId="1" type="noConversion"/>
  </si>
  <si>
    <t>元。</t>
    <phoneticPr fontId="1" type="noConversion"/>
  </si>
  <si>
    <t>四、以前年度剩餘款處理情形：</t>
  </si>
  <si>
    <r>
      <t>（一）截至去年度12月31日止，公益彩券盈餘分配待運用數為</t>
    </r>
    <r>
      <rPr>
        <b/>
        <sz val="14"/>
        <color indexed="8"/>
        <rFont val="標楷體"/>
        <family val="4"/>
        <charset val="136"/>
      </rPr>
      <t>(a)</t>
    </r>
    <r>
      <rPr>
        <b/>
        <u/>
        <sz val="14"/>
        <color indexed="8"/>
        <rFont val="標楷體"/>
        <family val="4"/>
        <charset val="136"/>
      </rPr>
      <t xml:space="preserve"> </t>
    </r>
    <phoneticPr fontId="1" type="noConversion"/>
  </si>
  <si>
    <r>
      <t xml:space="preserve">   （a1）本縣</t>
    </r>
    <r>
      <rPr>
        <b/>
        <u/>
        <sz val="13"/>
        <color theme="4" tint="-0.499984740745262"/>
        <rFont val="標楷體"/>
        <family val="4"/>
        <charset val="136"/>
      </rPr>
      <t>114年度</t>
    </r>
    <r>
      <rPr>
        <sz val="13"/>
        <color indexed="8"/>
        <rFont val="標楷體"/>
        <family val="4"/>
        <charset val="136"/>
      </rPr>
      <t>公益彩劵盈餘專戶利息為</t>
    </r>
    <phoneticPr fontId="1" type="noConversion"/>
  </si>
  <si>
    <r>
      <t>（二）處理情形：</t>
    </r>
    <r>
      <rPr>
        <b/>
        <u/>
        <sz val="14"/>
        <color rgb="FFFF0000"/>
        <rFont val="標楷體"/>
        <family val="4"/>
        <charset val="136"/>
      </rPr>
      <t>存入專戶並配合年度預算執行</t>
    </r>
    <r>
      <rPr>
        <sz val="14"/>
        <color indexed="8"/>
        <rFont val="標楷體"/>
        <family val="4"/>
        <charset val="136"/>
      </rPr>
      <t>。</t>
    </r>
    <phoneticPr fontId="1" type="noConversion"/>
  </si>
  <si>
    <r>
      <t>五、本年度1月起至本季截止，累計公益彩券盈餘分配數為</t>
    </r>
    <r>
      <rPr>
        <b/>
        <sz val="14"/>
        <color indexed="8"/>
        <rFont val="標楷體"/>
        <family val="4"/>
        <charset val="136"/>
      </rPr>
      <t xml:space="preserve">(b) </t>
    </r>
    <r>
      <rPr>
        <b/>
        <u/>
        <sz val="14"/>
        <color indexed="8"/>
        <rFont val="標楷體"/>
        <family val="4"/>
        <charset val="136"/>
      </rPr>
      <t xml:space="preserve">                      </t>
    </r>
    <phoneticPr fontId="1" type="noConversion"/>
  </si>
  <si>
    <t>六、本年度公益彩券盈餘分配預算編列情形：</t>
  </si>
  <si>
    <r>
      <t xml:space="preserve">（一）歲入預算來源原編 </t>
    </r>
    <r>
      <rPr>
        <b/>
        <u/>
        <sz val="13"/>
        <color rgb="FFFF0000"/>
        <rFont val="標楷體"/>
        <family val="4"/>
        <charset val="136"/>
      </rPr>
      <t>265,426,626</t>
    </r>
    <r>
      <rPr>
        <sz val="13"/>
        <rFont val="標楷體"/>
        <family val="4"/>
        <charset val="136"/>
      </rPr>
      <t>元，合計</t>
    </r>
    <r>
      <rPr>
        <b/>
        <u/>
        <sz val="13"/>
        <color theme="4" tint="-0.249977111117893"/>
        <rFont val="標楷體"/>
        <family val="4"/>
        <charset val="136"/>
      </rPr>
      <t>265,426,626</t>
    </r>
    <r>
      <rPr>
        <sz val="13"/>
        <rFont val="標楷體"/>
        <family val="4"/>
        <charset val="136"/>
      </rPr>
      <t>元。</t>
    </r>
    <phoneticPr fontId="1" type="noConversion"/>
  </si>
  <si>
    <r>
      <t xml:space="preserve">（二）歲出預算用途原編 </t>
    </r>
    <r>
      <rPr>
        <b/>
        <u/>
        <sz val="13"/>
        <color rgb="FFFF0000"/>
        <rFont val="標楷體"/>
        <family val="4"/>
        <charset val="136"/>
      </rPr>
      <t>265,426,626元，</t>
    </r>
    <r>
      <rPr>
        <b/>
        <u/>
        <sz val="13"/>
        <color theme="1"/>
        <rFont val="標楷體"/>
        <family val="4"/>
        <charset val="136"/>
      </rPr>
      <t>合計</t>
    </r>
    <r>
      <rPr>
        <b/>
        <u/>
        <sz val="13"/>
        <color theme="4" tint="-0.249977111117893"/>
        <rFont val="標楷體"/>
        <family val="4"/>
        <charset val="136"/>
      </rPr>
      <t>265,426,626</t>
    </r>
    <r>
      <rPr>
        <b/>
        <u/>
        <sz val="13"/>
        <color theme="1" tint="0.14999847407452621"/>
        <rFont val="標楷體"/>
        <family val="4"/>
        <charset val="136"/>
      </rPr>
      <t>元。</t>
    </r>
    <r>
      <rPr>
        <sz val="13"/>
        <rFont val="標楷體"/>
        <family val="4"/>
        <charset val="136"/>
      </rPr>
      <t xml:space="preserve">
     </t>
    </r>
    <r>
      <rPr>
        <b/>
        <u/>
        <sz val="13"/>
        <color rgb="FFFF0000"/>
        <rFont val="標楷體"/>
        <family val="4"/>
        <charset val="136"/>
      </rPr>
      <t xml:space="preserve"> 以前年度保留款13,622,099元。</t>
    </r>
    <phoneticPr fontId="1" type="noConversion"/>
  </si>
  <si>
    <r>
      <t>（三）收支併列：總預算歲出預算社會福利科目金額</t>
    </r>
    <r>
      <rPr>
        <b/>
        <u/>
        <sz val="14"/>
        <color theme="4" tint="-0.249977111117893"/>
        <rFont val="標楷體"/>
        <family val="4"/>
        <charset val="136"/>
      </rPr>
      <t>(d)2,053,634,000元</t>
    </r>
    <r>
      <rPr>
        <sz val="14"/>
        <color indexed="8"/>
        <rFont val="標楷體"/>
        <family val="4"/>
        <charset val="136"/>
      </rPr>
      <t>，運用公益彩券盈餘占歲出預算社會福利財源比率</t>
    </r>
    <r>
      <rPr>
        <b/>
        <u/>
        <sz val="14"/>
        <color theme="4" tint="-0.249977111117893"/>
        <rFont val="標楷體"/>
        <family val="4"/>
        <charset val="136"/>
      </rPr>
      <t>(c)/(d)12.92%。</t>
    </r>
    <phoneticPr fontId="1" type="noConversion"/>
  </si>
  <si>
    <t>（四）第2季季報表另檢附「公益彩券盈餘分配支用編列情形表」如後。(公益彩券盈餘分配支用編列情形表係揭露公益彩券運用計畫財源編列情形，至是否符合相關運用規範，仍以年度考核審認結果為準。)</t>
    <phoneticPr fontId="1" type="noConversion"/>
  </si>
  <si>
    <t>七、公益彩券盈餘分配之執行數：</t>
  </si>
  <si>
    <t>單位：新臺幣元</t>
  </si>
  <si>
    <t>項目</t>
  </si>
  <si>
    <t>本年度預算數</t>
  </si>
  <si>
    <t>以前年度保留數</t>
  </si>
  <si>
    <t>第1季執行數</t>
  </si>
  <si>
    <t>第2季執行數</t>
  </si>
  <si>
    <t>第3季執行數</t>
  </si>
  <si>
    <t>第4季執行數</t>
  </si>
  <si>
    <r>
      <t xml:space="preserve">本年度1月起至本季截止累計執行數
</t>
    </r>
    <r>
      <rPr>
        <sz val="11"/>
        <color indexed="10"/>
        <rFont val="標楷體"/>
        <family val="4"/>
        <charset val="136"/>
      </rPr>
      <t>（詳填表說明3）</t>
    </r>
  </si>
  <si>
    <t>執行率（%）</t>
  </si>
  <si>
    <r>
      <t xml:space="preserve">備註
</t>
    </r>
    <r>
      <rPr>
        <sz val="11"/>
        <color indexed="10"/>
        <rFont val="標楷體"/>
        <family val="4"/>
        <charset val="136"/>
      </rPr>
      <t>（詳填表說明4）</t>
    </r>
  </si>
  <si>
    <t>（一）福利服務</t>
  </si>
  <si>
    <t>1.兒童及少年福利</t>
  </si>
  <si>
    <t>(1)辦理低收入戶暨弱勢兒童少年醫療補助</t>
    <phoneticPr fontId="1" type="noConversion"/>
  </si>
  <si>
    <t>依個案申請情形撥付。</t>
    <phoneticPr fontId="1" type="noConversion"/>
  </si>
  <si>
    <t>(2)強化社會安全網-精進及擴充兒少家外安置資源：建立在地評估小組。</t>
    <phoneticPr fontId="1" type="noConversion"/>
  </si>
  <si>
    <t>持續辦理中。</t>
    <phoneticPr fontId="1" type="noConversion"/>
  </si>
  <si>
    <t>(3)兒少保護親屬安置費用補助計畫。</t>
    <phoneticPr fontId="1" type="noConversion"/>
  </si>
  <si>
    <t>依個案實際需求撥付。</t>
    <phoneticPr fontId="1" type="noConversion"/>
  </si>
  <si>
    <t>(4)補助辦理兒童及少年機構安置、家庭寄養及親職輔導服務。</t>
    <phoneticPr fontId="1" type="noConversion"/>
  </si>
  <si>
    <t>單位尚未請款，按季核銷。</t>
    <phoneticPr fontId="1" type="noConversion"/>
  </si>
  <si>
    <t>(5)辦理脆弱兒少及家庭社區支持服務方案(守護家庭小衛星)</t>
    <phoneticPr fontId="1" type="noConversion"/>
  </si>
  <si>
    <t>(6)辦理育兒指導服務方案。</t>
    <phoneticPr fontId="1" type="noConversion"/>
  </si>
  <si>
    <t>(7)辦理強化社會安全網-社會福利服務中心服務業務</t>
    <phoneticPr fontId="1" type="noConversion"/>
  </si>
  <si>
    <t>(8)補助辦理家庭支持服務資源布建方案計畫。</t>
    <phoneticPr fontId="1" type="noConversion"/>
  </si>
  <si>
    <t>計畫核定中。</t>
    <phoneticPr fontId="1" type="noConversion"/>
  </si>
  <si>
    <t>(9)補助辦理兒少及家庭社區支持服務方案(守護家庭小衛星)</t>
    <phoneticPr fontId="1" type="noConversion"/>
  </si>
  <si>
    <t>(10)社會福利服務中心庶務維護費用(望安+兒少+西嶼)</t>
    <phoneticPr fontId="1" type="noConversion"/>
  </si>
  <si>
    <t>(11)辦理我國少子女化對策計畫</t>
    <phoneticPr fontId="1" type="noConversion"/>
  </si>
  <si>
    <t>(12)辦理發展遲緩兒童相關業務(社)</t>
    <phoneticPr fontId="1" type="noConversion"/>
  </si>
  <si>
    <t>(13)辦理居家托育服務中心暨定點臨托計畫(含資本門)</t>
    <phoneticPr fontId="1" type="noConversion"/>
  </si>
  <si>
    <t>(14)辦理弱勢兒童課後照顧服務</t>
    <phoneticPr fontId="1" type="noConversion"/>
  </si>
  <si>
    <t>依個案需求撥付。</t>
    <phoneticPr fontId="1" type="noConversion"/>
  </si>
  <si>
    <t>(15)充實兒少福利中心圖書雜誌及兒少發展常態性活動</t>
    <phoneticPr fontId="1" type="noConversion"/>
  </si>
  <si>
    <t>規劃辦理中。</t>
    <phoneticPr fontId="1" type="noConversion"/>
  </si>
  <si>
    <t>(16)辦理兒少福利各項服務評鑑及輔導等相關費用。</t>
    <phoneticPr fontId="1" type="noConversion"/>
  </si>
  <si>
    <t>辦理中，尚未核銷。</t>
    <phoneticPr fontId="1" type="noConversion"/>
  </si>
  <si>
    <t>(17)辦理青少年福利各項服務活動費、青年培力活動費及兒少安置機構教育人員訓練</t>
    <phoneticPr fontId="1" type="noConversion"/>
  </si>
  <si>
    <t>(18)辦理弱勢兒少藝文休閒活動及親子活動。</t>
    <phoneticPr fontId="1" type="noConversion"/>
  </si>
  <si>
    <t>(19)辦理白沙西嶼社福中心室內兒童遊戲場修繕。(墊付轉正)</t>
    <phoneticPr fontId="1" type="noConversion"/>
  </si>
  <si>
    <t>辦理完畢。</t>
    <phoneticPr fontId="1" type="noConversion"/>
  </si>
  <si>
    <t>(20)補助辦理托育資源中心計畫(含資本門)</t>
    <phoneticPr fontId="1" type="noConversion"/>
  </si>
  <si>
    <t>(21)補助辦理發展遲緩兒童社區療育家庭支持服務計畫。</t>
    <phoneticPr fontId="1" type="noConversion"/>
  </si>
  <si>
    <t>(22)補助團體辦理社區托育服務方案費。</t>
    <phoneticPr fontId="1" type="noConversion"/>
  </si>
  <si>
    <t>(23)補助辦理弱勢少年自立生活方案。</t>
    <phoneticPr fontId="1" type="noConversion"/>
  </si>
  <si>
    <t>(24)辦理保母技術士考照交通住宿補助費。</t>
    <phoneticPr fontId="1" type="noConversion"/>
  </si>
  <si>
    <t>(25)辦理遲緩兒在地化早期療育計畫(衛)</t>
    <phoneticPr fontId="1" type="noConversion"/>
  </si>
  <si>
    <t>(26)約聘社會工作員辦理強化社會安全網-社會福利服務中心人事費(含交通費)</t>
    <phoneticPr fontId="1" type="noConversion"/>
  </si>
  <si>
    <t>持續辦理中，部分人員未補齊。</t>
    <phoneticPr fontId="1" type="noConversion"/>
  </si>
  <si>
    <t>(27)興建案山公共托嬰中心室內裝修工程費用(含設計、監造)。</t>
    <phoneticPr fontId="1" type="noConversion"/>
  </si>
  <si>
    <t>(28)社會福利服務中心充實設施設備及修繕費。</t>
    <phoneticPr fontId="1" type="noConversion"/>
  </si>
  <si>
    <t>(29)辦理發展遲緩兒童通報轉介暨個案管理中心服務計畫設施設備費。</t>
    <phoneticPr fontId="1" type="noConversion"/>
  </si>
  <si>
    <t>(30)補助辦理托育服務方案開辦及設施設備費、托育人員技術士輔導考照加強班設備費。</t>
    <phoneticPr fontId="1" type="noConversion"/>
  </si>
  <si>
    <t>(31)補助辦理發展遲緩兒童個管服務中心及社區療育據點計畫設施設備經費。</t>
    <phoneticPr fontId="1" type="noConversion"/>
  </si>
  <si>
    <t>單位尚未請款。</t>
    <phoneticPr fontId="1" type="noConversion"/>
  </si>
  <si>
    <t>(32)澎南及文光托嬰中心設施設備費</t>
    <phoneticPr fontId="1" type="noConversion"/>
  </si>
  <si>
    <t>(33)興建案山公共托嬰中心
(114年工程款)</t>
    <phoneticPr fontId="1" type="noConversion"/>
  </si>
  <si>
    <t>小計</t>
  </si>
  <si>
    <t>2.婦女福利</t>
    <phoneticPr fontId="1" type="noConversion"/>
  </si>
  <si>
    <t>(1)辦理婦女福利及性別平等業務</t>
    <phoneticPr fontId="1" type="noConversion"/>
  </si>
  <si>
    <t>(2)辦理新住民整合型社區服務據點、新住民家庭服務計畫及新住民社區參與</t>
    <phoneticPr fontId="1" type="noConversion"/>
  </si>
  <si>
    <t>(3)辦理婦女福利服務中心及性別友善等相關計畫。</t>
    <phoneticPr fontId="1" type="noConversion"/>
  </si>
  <si>
    <t>(4)辦理婦女節慶相關活動</t>
    <phoneticPr fontId="1" type="noConversion"/>
  </si>
  <si>
    <t>部分活動辦理完畢，於第2季核銷。</t>
    <phoneticPr fontId="1" type="noConversion"/>
  </si>
  <si>
    <t>(5)補助團體辦理婦女相關計畫配合款</t>
    <phoneticPr fontId="1" type="noConversion"/>
  </si>
  <si>
    <t>依團體申請情形撥付。</t>
    <phoneticPr fontId="1" type="noConversion"/>
  </si>
  <si>
    <t>(6)補助團體辦理新住民整合型社區服務據點</t>
    <phoneticPr fontId="1" type="noConversion"/>
  </si>
  <si>
    <t>3.老人福利</t>
  </si>
  <si>
    <t>(1)辦理社區照顧關懷據點健康導入多元活動(含獎補助)</t>
    <phoneticPr fontId="1" type="noConversion"/>
  </si>
  <si>
    <t>(2)補助社區發展協會等團體辦理社區照顧關懷據點計畫。</t>
    <phoneticPr fontId="1" type="noConversion"/>
  </si>
  <si>
    <t>依照中央核定情形，尚未核定辦理團體。</t>
    <phoneticPr fontId="1" type="noConversion"/>
  </si>
  <si>
    <t>(3)辦理老人假牙行政事務費。</t>
    <phoneticPr fontId="1" type="noConversion"/>
  </si>
  <si>
    <t>(4)臨時人員2人辦理強化本縣整備長期照顧服務計畫。</t>
    <phoneticPr fontId="1" type="noConversion"/>
  </si>
  <si>
    <t>(5)委請個人從事獨居長者扶助餐食相關業務費</t>
    <phoneticPr fontId="1" type="noConversion"/>
  </si>
  <si>
    <t>(6)辦理本縣獨居老人緊急救援連線系統服務量能提升計畫</t>
    <phoneticPr fontId="1" type="noConversion"/>
  </si>
  <si>
    <t>配合中央核定情形辦理計畫修正。</t>
    <phoneticPr fontId="1" type="noConversion"/>
  </si>
  <si>
    <t>(7)長青活動中心等公有建物消防火檢、公安檢查及設備修繕暨內部設施。</t>
    <phoneticPr fontId="1" type="noConversion"/>
  </si>
  <si>
    <t>(8)辦理老人生活狀況及福利需求調查。</t>
    <phoneticPr fontId="1" type="noConversion"/>
  </si>
  <si>
    <t>(9)補助辦理低收及中低收入獨居長者扶助餐食服務費</t>
    <phoneticPr fontId="1" type="noConversion"/>
  </si>
  <si>
    <t>(10)補助車船處辦理社會福利車廂廣告費。</t>
    <phoneticPr fontId="1" type="noConversion"/>
  </si>
  <si>
    <t>(11)補助辦理長青學苑、重陽節敬老系列活動及老人相關活動</t>
    <phoneticPr fontId="1" type="noConversion"/>
  </si>
  <si>
    <t>(12)補助辦理老人保護預防性關懷服務計畫。</t>
    <phoneticPr fontId="1" type="noConversion"/>
  </si>
  <si>
    <t>(13)補助辦理老人獨立倡導關懷實施計畫。</t>
    <phoneticPr fontId="1" type="noConversion"/>
  </si>
  <si>
    <t>(14)補助團體辦理強化獨居老人關懷服務計畫。</t>
    <phoneticPr fontId="1" type="noConversion"/>
  </si>
  <si>
    <t>(15)辦理中低收入失能老人機構公費安置及老人保護安置費、驗傷、體檢等補助</t>
    <phoneticPr fontId="1" type="noConversion"/>
  </si>
  <si>
    <t>持續辦理中，先運用縣款撥付。</t>
    <phoneticPr fontId="1" type="noConversion"/>
  </si>
  <si>
    <t>(16)補助辦理社區照顧關懷據點充實設施設備經費。</t>
    <phoneticPr fontId="1" type="noConversion"/>
  </si>
  <si>
    <t>(17)充實本縣長青活動中心等公有建物設施設備修繕及充實辦公室設施設備費。</t>
    <phoneticPr fontId="1" type="noConversion"/>
  </si>
  <si>
    <t>(18)補助辦理長者營養餐食設施設費</t>
    <phoneticPr fontId="1" type="noConversion"/>
  </si>
  <si>
    <t>依單位申請情形撥付。</t>
    <phoneticPr fontId="1" type="noConversion"/>
  </si>
  <si>
    <t>(19)享居社福養生園區興建工程費(115年工程款)</t>
    <phoneticPr fontId="1" type="noConversion"/>
  </si>
  <si>
    <t>持續辦理中，依估驗進度撥付。</t>
    <phoneticPr fontId="1" type="noConversion"/>
  </si>
  <si>
    <t>(20)補助社會福利團體辦理澎湖縣享居長照園區實施計畫(開辦費)。</t>
    <phoneticPr fontId="1" type="noConversion"/>
  </si>
  <si>
    <t>4.身心障礙者福利</t>
  </si>
  <si>
    <t>(1)辦理身心障礙者日間照顧及住宿式照顧補助費</t>
    <phoneticPr fontId="1" type="noConversion"/>
  </si>
  <si>
    <t>持續辦理中，部分先運用縣款撥付。</t>
    <phoneticPr fontId="1" type="noConversion"/>
  </si>
  <si>
    <t>(2)辦理身心障礙者需求評估新制計畫(含人力2人、外聘督導計畫)</t>
    <phoneticPr fontId="1" type="noConversion"/>
  </si>
  <si>
    <t>(3)委託辦理身心障礙者緊急救援連線服務</t>
    <phoneticPr fontId="1" type="noConversion"/>
  </si>
  <si>
    <t>(4)委託辦理身心障礙者全日型照顧機構管理營運計畫</t>
    <phoneticPr fontId="1" type="noConversion"/>
  </si>
  <si>
    <t>單位尚未請款，依契約期程撥付。</t>
    <phoneticPr fontId="1" type="noConversion"/>
  </si>
  <si>
    <t>(5)委託辦理輔具資源中心服務計畫</t>
    <phoneticPr fontId="1" type="noConversion"/>
  </si>
  <si>
    <t>(6)委託辦理身心障礙者復康巴士交通服務計畫</t>
    <phoneticPr fontId="1" type="noConversion"/>
  </si>
  <si>
    <t>(7)辦理身心障礙勵志館書籍影音購置、拍攝、軟體維護宣傳活動及各類表冊等</t>
    <phoneticPr fontId="1" type="noConversion"/>
  </si>
  <si>
    <t>持續辦理中，尚未核銷。</t>
    <phoneticPr fontId="1" type="noConversion"/>
  </si>
  <si>
    <t>(8)身心障礙福利資源發展暨社團輔導培力計畫</t>
    <phoneticPr fontId="1" type="noConversion"/>
  </si>
  <si>
    <t>(9)辦理家庭照顧者支持服務計畫。</t>
    <phoneticPr fontId="1" type="noConversion"/>
  </si>
  <si>
    <t>(10)辦理家庭照顧者支持性服務共融計畫。</t>
    <phoneticPr fontId="1" type="noConversion"/>
  </si>
  <si>
    <t>(11)辦理緊急照顧服務、照顧服務體驗及緊急救援服務及其他高照顧負荷家庭創新服務方案。</t>
    <phoneticPr fontId="1" type="noConversion"/>
  </si>
  <si>
    <t>依個案需求支用。</t>
    <phoneticPr fontId="1" type="noConversion"/>
  </si>
  <si>
    <t>(12)補助辦理視覺障礙者生活重建服務方案計畫</t>
    <phoneticPr fontId="1" type="noConversion"/>
  </si>
  <si>
    <t>(13)補助辦理身障各類服務人員在職訓練</t>
    <phoneticPr fontId="1" type="noConversion"/>
  </si>
  <si>
    <t>尚未核定。</t>
    <phoneticPr fontId="1" type="noConversion"/>
  </si>
  <si>
    <t>(14)補助辦理身心障礙者多元社區居住與生活服務計畫。</t>
    <phoneticPr fontId="1" type="noConversion"/>
  </si>
  <si>
    <t>(15)補助辦理精神障礙者協作模式服務據點計畫</t>
    <phoneticPr fontId="1" type="noConversion"/>
  </si>
  <si>
    <t>(16)補助辦理家庭托顧服務計畫</t>
    <phoneticPr fontId="1" type="noConversion"/>
  </si>
  <si>
    <t>(17)補助辦理身心障礙者自立生活支持計畫</t>
    <phoneticPr fontId="1" type="noConversion"/>
  </si>
  <si>
    <t>(18)補助辦理身心障礙個人照顧-社區日間作業設施計畫</t>
    <phoneticPr fontId="1" type="noConversion"/>
  </si>
  <si>
    <t>(19)補助辦理身心障礙者社區式日間照顧服務計畫。</t>
    <phoneticPr fontId="1" type="noConversion"/>
  </si>
  <si>
    <t>(20)辦理強化社會安全網-精神障礙者協作模式服務據點方案管理人事費(含交通費)</t>
    <phoneticPr fontId="1" type="noConversion"/>
  </si>
  <si>
    <t>(21)辦理身心障礙照顧服務資源布建計畫(含業務費+人事費)</t>
    <phoneticPr fontId="1" type="noConversion"/>
  </si>
  <si>
    <t>(22)辦理擴充社區式服務資源布建及多元化身心障礙者福利機構服務人力擴充。</t>
    <phoneticPr fontId="1" type="noConversion"/>
  </si>
  <si>
    <t>(24)辦理身障福利服務中心扶手等無障礙設施及冷氣等設備更新</t>
    <phoneticPr fontId="1" type="noConversion"/>
  </si>
  <si>
    <t>依需求支用，規劃辦理中。</t>
    <phoneticPr fontId="1" type="noConversion"/>
  </si>
  <si>
    <t>(25)辦理樂朋家園機構充實設施設備及修繕費</t>
    <phoneticPr fontId="1" type="noConversion"/>
  </si>
  <si>
    <t>(26)布建輔具服務資源及充實本縣輔具資源中心輔具設備</t>
    <phoneticPr fontId="1" type="noConversion"/>
  </si>
  <si>
    <t>(27)補助機構團體設施設備及空間無障礙修繕</t>
    <phoneticPr fontId="1" type="noConversion"/>
  </si>
  <si>
    <t>依單位申請撥付。</t>
    <phoneticPr fontId="1" type="noConversion"/>
  </si>
  <si>
    <t>(28)補助身心障礙福利機構等單位建物整體修繕費用(含經常門)</t>
    <phoneticPr fontId="1" type="noConversion"/>
  </si>
  <si>
    <t>5.家庭暴力暨性侵害防治</t>
    <phoneticPr fontId="1" type="noConversion"/>
  </si>
  <si>
    <t>(1)辦理家事事件服務中心及家庭暴力相關服務計畫。</t>
    <phoneticPr fontId="1" type="noConversion"/>
  </si>
  <si>
    <t>(2)辦理社區防暴初級預防等相關培力及活動。</t>
    <phoneticPr fontId="1" type="noConversion"/>
  </si>
  <si>
    <t>(3)辦理強化社會安全網計畫行政事務費用</t>
    <phoneticPr fontId="1" type="noConversion"/>
  </si>
  <si>
    <t>(4)新住民及其子女人身安全保護計畫。(含轉正)</t>
    <phoneticPr fontId="1" type="noConversion"/>
  </si>
  <si>
    <t>(5)辦理逆境少年及家庭支持服務方案計畫。</t>
    <phoneticPr fontId="1" type="noConversion"/>
  </si>
  <si>
    <t>(6)辦理推展社會福利服務家庭支持服務方案計畫。</t>
    <phoneticPr fontId="1" type="noConversion"/>
  </si>
  <si>
    <t>(7)補助辦理性別暴力防治宣導及紫絲帶認證社區獎勵案</t>
    <phoneticPr fontId="1" type="noConversion"/>
  </si>
  <si>
    <t>(8)補助團辦理保護性被害人服務相關計畫</t>
    <phoneticPr fontId="1" type="noConversion"/>
  </si>
  <si>
    <t>(9)家庭暴力暨性侵害加害人身心治療及輔導教育計畫。</t>
    <phoneticPr fontId="1" type="noConversion"/>
  </si>
  <si>
    <t>(10)辦理推動性騷擾防治方案業務費(人力+業務)</t>
    <phoneticPr fontId="1" type="noConversion"/>
  </si>
  <si>
    <t>(11)強化社會安全網計畫-優化保護服務輸送，提升風險控管保護(含交通費)</t>
    <phoneticPr fontId="1" type="noConversion"/>
  </si>
  <si>
    <t>(12)辦理強化社會安全網--性騷擾申訴案件人事費(含交通費)</t>
    <phoneticPr fontId="1" type="noConversion"/>
  </si>
  <si>
    <t>(13)辦理強化社會安全網--精進兒少家外安置人事費(含交通費)</t>
    <phoneticPr fontId="1" type="noConversion"/>
  </si>
  <si>
    <t>6.其他福利</t>
    <phoneticPr fontId="1" type="noConversion"/>
  </si>
  <si>
    <t>(1)補助非老非障服務對象安置及服務費用</t>
    <phoneticPr fontId="1" type="noConversion"/>
  </si>
  <si>
    <t>(2)赴台接替代役男交通住宿費及替代役男返鄉外勤、交通費、雜支及替代役男住宿費</t>
    <phoneticPr fontId="1" type="noConversion"/>
  </si>
  <si>
    <t>(3)社會福利資訊系統與高風險預警系統</t>
    <phoneticPr fontId="1" type="noConversion"/>
  </si>
  <si>
    <t>依維護契約撥付，尚未請款。</t>
    <phoneticPr fontId="1" type="noConversion"/>
  </si>
  <si>
    <t>(4)辦理社工人員執業安全及支持協助方案</t>
    <phoneticPr fontId="1" type="noConversion"/>
  </si>
  <si>
    <t>社工日尚未核銷，餘規劃辦理中。</t>
    <phoneticPr fontId="1" type="noConversion"/>
  </si>
  <si>
    <t>(5)補助辦理推展多元社會福利方案實施計畫(含設施設備費)</t>
    <phoneticPr fontId="1" type="noConversion"/>
  </si>
  <si>
    <t>(6)臨時人員人協辦社會福利業務及長青活動中心管理員</t>
    <phoneticPr fontId="1" type="noConversion"/>
  </si>
  <si>
    <t>(7)辦理公益彩券盈餘推廣計畫</t>
    <phoneticPr fontId="1" type="noConversion"/>
  </si>
  <si>
    <t>(8)補助本縣各社福團體、機構辦理身障、老人、兒少、婦女、志願服務等各項福利服務活動</t>
    <phoneticPr fontId="1" type="noConversion"/>
  </si>
  <si>
    <t>(9)辦理社區再造培力中心計畫</t>
    <phoneticPr fontId="1" type="noConversion"/>
  </si>
  <si>
    <t>(10)補助辦理社區再造培力中心計畫。(含資本門)</t>
    <phoneticPr fontId="1" type="noConversion"/>
  </si>
  <si>
    <t>(11)推動社區發展工作辦理走動式績優社區觀摩實施計畫</t>
    <phoneticPr fontId="1" type="noConversion"/>
  </si>
  <si>
    <t>尚未核定辦理。</t>
    <phoneticPr fontId="1" type="noConversion"/>
  </si>
  <si>
    <t>(12)補助各社區成果維護費及聯合社區相關活動費</t>
    <phoneticPr fontId="1" type="noConversion"/>
  </si>
  <si>
    <t>(13)補助大專院校辦理大專校院培力社區擴展服務創新實施計畫</t>
    <phoneticPr fontId="1" type="noConversion"/>
  </si>
  <si>
    <t>(14)辦理社區培力均衡區域發展實施計畫。</t>
    <phoneticPr fontId="1" type="noConversion"/>
  </si>
  <si>
    <t>(15)辦理社區發展相關業務</t>
    <phoneticPr fontId="1" type="noConversion"/>
  </si>
  <si>
    <t>(16)委託辦理志願服務推廣中心業務。</t>
    <phoneticPr fontId="1" type="noConversion"/>
  </si>
  <si>
    <t>(17)志願服務聯繫會報及志願服務運用單位績效考核評鑑</t>
    <phoneticPr fontId="1" type="noConversion"/>
  </si>
  <si>
    <t>(18)補助志願服務團體志工保險費、獎勵金</t>
    <phoneticPr fontId="1" type="noConversion"/>
  </si>
  <si>
    <t>(19)約聘(僱)人員辦理社會福利業務</t>
    <phoneticPr fontId="1" type="noConversion"/>
  </si>
  <si>
    <t>(20)辦理公益勸募研習訓練與宣導</t>
    <phoneticPr fontId="1" type="noConversion"/>
  </si>
  <si>
    <t>(21)各福利方案購置充實設施設備及修繕費。</t>
    <phoneticPr fontId="1" type="noConversion"/>
  </si>
  <si>
    <t>（二）社會救助</t>
  </si>
  <si>
    <t>(1)低收入戶家庭生活補助</t>
    <phoneticPr fontId="1" type="noConversion"/>
  </si>
  <si>
    <t>先運用縣款撥付，持續辦理中。</t>
    <phoneticPr fontId="1" type="noConversion"/>
  </si>
  <si>
    <r>
      <t xml:space="preserve">(2)辦理民眾急難救助
</t>
    </r>
    <r>
      <rPr>
        <b/>
        <sz val="10"/>
        <rFont val="標楷體"/>
        <family val="4"/>
        <charset val="136"/>
      </rPr>
      <t>(含川資救助)</t>
    </r>
    <phoneticPr fontId="1" type="noConversion"/>
  </si>
  <si>
    <t>(3)社會救助複查</t>
    <phoneticPr fontId="1" type="noConversion"/>
  </si>
  <si>
    <t>第4季辦理。</t>
    <phoneticPr fontId="1" type="noConversion"/>
  </si>
  <si>
    <t>(4)低收入戶產婦生育補助</t>
    <phoneticPr fontId="1" type="noConversion"/>
  </si>
  <si>
    <t>(5)社會救助業務訓練費用及雜支</t>
    <phoneticPr fontId="1" type="noConversion"/>
  </si>
  <si>
    <t>(6)辦理家庭自立脫貧計畫</t>
    <phoneticPr fontId="1" type="noConversion"/>
  </si>
  <si>
    <t>（三）社會保險</t>
  </si>
  <si>
    <t>無</t>
    <phoneticPr fontId="1" type="noConversion"/>
  </si>
  <si>
    <t>（四）國民就業</t>
  </si>
  <si>
    <t>辦理就業平等業務及諮詢服務中心等費用</t>
    <phoneticPr fontId="1" type="noConversion"/>
  </si>
  <si>
    <t>辦理就業平等業務費用</t>
  </si>
  <si>
    <t>（五）醫療保健</t>
  </si>
  <si>
    <t>本縣民眾醫療照護交通補助費</t>
    <phoneticPr fontId="1" type="noConversion"/>
  </si>
  <si>
    <t>持續辦理中，依個案需求撥付。</t>
    <phoneticPr fontId="1" type="noConversion"/>
  </si>
  <si>
    <t>千元整數</t>
    <phoneticPr fontId="1" type="noConversion"/>
  </si>
  <si>
    <t>合        計</t>
  </si>
  <si>
    <t>填表說明：1.「福利類別及項目」，得視當季實際執行情形酌予增減或修正。</t>
    <phoneticPr fontId="1" type="noConversion"/>
  </si>
  <si>
    <t>(C)↑</t>
    <phoneticPr fontId="1" type="noConversion"/>
  </si>
  <si>
    <t xml:space="preserve">          2.歲出預算社會福利科目金額係指總預算歲出政事別預算總表中，社會福利支出科目預算數。</t>
  </si>
  <si>
    <r>
      <t xml:space="preserve">          3.</t>
    </r>
    <r>
      <rPr>
        <b/>
        <sz val="12"/>
        <color indexed="10"/>
        <rFont val="標楷體"/>
        <family val="4"/>
        <charset val="136"/>
      </rPr>
      <t>累計執行數包含以前年度保留款於本年度實際執行數，本年度預算保留款不予計入。</t>
    </r>
  </si>
  <si>
    <r>
      <t xml:space="preserve">          4.請說明計畫執行率不佳原因，</t>
    </r>
    <r>
      <rPr>
        <b/>
        <sz val="12"/>
        <color indexed="10"/>
        <rFont val="標楷體"/>
        <family val="4"/>
        <charset val="136"/>
      </rPr>
      <t>第4季季報表請併同說明本年度預算保留至以後年度執行之情形</t>
    </r>
    <r>
      <rPr>
        <sz val="12"/>
        <color indexed="10"/>
        <rFont val="標楷體"/>
        <family val="4"/>
        <charset val="136"/>
      </rPr>
      <t>。</t>
    </r>
  </si>
  <si>
    <t>八、本年度1月起至本季截止公益彩券盈餘分配剩餘情形：</t>
  </si>
  <si>
    <r>
      <t>（一）本年度1月起至本季截止，累計公益彩券盈餘分配待運用數(f)=(a)+(b)-(C）</t>
    </r>
    <r>
      <rPr>
        <u/>
        <sz val="14"/>
        <color indexed="8"/>
        <rFont val="標楷體"/>
        <family val="4"/>
        <charset val="136"/>
      </rPr>
      <t xml:space="preserve">                   </t>
    </r>
    <phoneticPr fontId="1" type="noConversion"/>
  </si>
  <si>
    <t xml:space="preserve">       另本年度保留款金額合計　　　　</t>
    <phoneticPr fontId="1" type="noConversion"/>
  </si>
  <si>
    <t>元（第4季季報表須填列）。</t>
    <phoneticPr fontId="1" type="noConversion"/>
  </si>
  <si>
    <t>（二）尚未執行之原因：部分計畫人力異動頻繁無全年度進用致經費無支用，另新建案尚在更變設計故無法順利估驗撥款。</t>
    <phoneticPr fontId="1" type="noConversion"/>
  </si>
  <si>
    <r>
      <t>九、公益彩券盈餘預算經費動支及核銷預估情形： （第4季</t>
    </r>
    <r>
      <rPr>
        <sz val="14"/>
        <color indexed="10"/>
        <rFont val="標楷體"/>
        <family val="4"/>
        <charset val="136"/>
      </rPr>
      <t>季</t>
    </r>
    <r>
      <rPr>
        <sz val="14"/>
        <color indexed="8"/>
        <rFont val="標楷體"/>
        <family val="4"/>
        <charset val="136"/>
      </rPr>
      <t xml:space="preserve">報表本欄免填）                                  </t>
    </r>
  </si>
  <si>
    <t>（一）本年度1月起至本季截止，已發包或已簽約經費89,700,000元，預計於次季執行經費37,400,000元。</t>
    <phoneticPr fontId="1" type="noConversion"/>
  </si>
  <si>
    <t>（二）預計於次季核銷經費92,900,000元，預估累計至次季止執行率33.29%。</t>
    <phoneticPr fontId="1" type="noConversion"/>
  </si>
  <si>
    <t>承辦人員簽章：</t>
  </si>
  <si>
    <t>業務單位</t>
  </si>
  <si>
    <t>聯絡電話：</t>
  </si>
  <si>
    <t>李家隆</t>
    <phoneticPr fontId="1" type="noConversion"/>
  </si>
  <si>
    <t>主管簽章：</t>
  </si>
  <si>
    <t>填表日期：</t>
  </si>
  <si>
    <t>115.04.14</t>
    <phoneticPr fontId="1" type="noConversion"/>
  </si>
  <si>
    <t>會計單位</t>
  </si>
  <si>
    <t>機關主管</t>
  </si>
  <si>
    <t>簽    章：</t>
  </si>
  <si>
    <t>備註：簽章欄得由各該直轄巿、縣巿政府視業務劃分，自行調整。</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</si>
</sst>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_);[Red]\(#,##0\)"/>
    <numFmt numFmtId="177" formatCode="#,##0_ "/>
  </numFmts>
  <fonts count="41" x14ac:knownFonts="1">
    <font>
      <sz val="12"/>
      <color indexed="8"/>
      <name val="新細明體"/>
      <family val="1"/>
      <charset val="136"/>
    </font>
    <font>
      <sz val="9"/>
      <name val="新細明體"/>
      <family val="1"/>
      <charset val="136"/>
    </font>
    <font>
      <b/>
      <u/>
      <sz val="16"/>
      <color rgb="FF000000"/>
      <name val="標楷體"/>
      <family val="4"/>
      <charset val="136"/>
    </font>
    <font>
      <b/>
      <u/>
      <sz val="16"/>
      <color indexed="8"/>
      <name val="標楷體"/>
      <family val="4"/>
      <charset val="136"/>
    </font>
    <font>
      <b/>
      <sz val="18"/>
      <color indexed="8"/>
      <name val="標楷體"/>
      <family val="4"/>
      <charset val="136"/>
    </font>
    <font>
      <b/>
      <sz val="14"/>
      <color indexed="8"/>
      <name val="標楷體"/>
      <family val="4"/>
      <charset val="136"/>
    </font>
    <font>
      <b/>
      <sz val="14"/>
      <color rgb="FFFF0000"/>
      <name val="標楷體"/>
      <family val="4"/>
      <charset val="136"/>
    </font>
    <font>
      <sz val="14"/>
      <color indexed="8"/>
      <name val="標楷體"/>
      <family val="4"/>
      <charset val="136"/>
    </font>
    <font>
      <sz val="12"/>
      <color indexed="8"/>
      <name val="標楷體"/>
      <family val="4"/>
      <charset val="136"/>
    </font>
    <font>
      <u/>
      <sz val="14"/>
      <color indexed="8"/>
      <name val="標楷體"/>
      <family val="4"/>
      <charset val="136"/>
    </font>
    <font>
      <u/>
      <sz val="14"/>
      <color rgb="FFFF0000"/>
      <name val="標楷體"/>
      <family val="4"/>
      <charset val="136"/>
    </font>
    <font>
      <b/>
      <u/>
      <sz val="14"/>
      <color rgb="FFFF0000"/>
      <name val="標楷體"/>
      <family val="4"/>
      <charset val="136"/>
    </font>
    <font>
      <sz val="13"/>
      <name val="標楷體"/>
      <family val="4"/>
      <charset val="136"/>
    </font>
    <font>
      <b/>
      <u/>
      <sz val="14"/>
      <color indexed="8"/>
      <name val="標楷體"/>
      <family val="4"/>
      <charset val="136"/>
    </font>
    <font>
      <sz val="13"/>
      <color indexed="8"/>
      <name val="標楷體"/>
      <family val="4"/>
      <charset val="136"/>
    </font>
    <font>
      <b/>
      <u/>
      <sz val="13"/>
      <color theme="4" tint="-0.499984740745262"/>
      <name val="標楷體"/>
      <family val="4"/>
      <charset val="136"/>
    </font>
    <font>
      <u/>
      <sz val="13"/>
      <color rgb="FFFF0000"/>
      <name val="標楷體"/>
      <family val="4"/>
      <charset val="136"/>
    </font>
    <font>
      <b/>
      <u/>
      <sz val="13"/>
      <color rgb="FFFF0000"/>
      <name val="標楷體"/>
      <family val="4"/>
      <charset val="136"/>
    </font>
    <font>
      <b/>
      <u/>
      <sz val="13"/>
      <color theme="4" tint="-0.249977111117893"/>
      <name val="標楷體"/>
      <family val="4"/>
      <charset val="136"/>
    </font>
    <font>
      <b/>
      <u/>
      <sz val="13"/>
      <color theme="1"/>
      <name val="標楷體"/>
      <family val="4"/>
      <charset val="136"/>
    </font>
    <font>
      <b/>
      <u/>
      <sz val="13"/>
      <color theme="1" tint="0.14999847407452621"/>
      <name val="標楷體"/>
      <family val="4"/>
      <charset val="136"/>
    </font>
    <font>
      <b/>
      <u/>
      <sz val="14"/>
      <color theme="4" tint="-0.249977111117893"/>
      <name val="標楷體"/>
      <family val="4"/>
      <charset val="136"/>
    </font>
    <font>
      <b/>
      <sz val="12"/>
      <color indexed="8"/>
      <name val="標楷體"/>
      <family val="4"/>
      <charset val="136"/>
    </font>
    <font>
      <sz val="12"/>
      <color indexed="10"/>
      <name val="標楷體"/>
      <family val="4"/>
      <charset val="136"/>
    </font>
    <font>
      <sz val="11"/>
      <color indexed="8"/>
      <name val="標楷體"/>
      <family val="4"/>
      <charset val="136"/>
    </font>
    <font>
      <sz val="11"/>
      <color indexed="10"/>
      <name val="標楷體"/>
      <family val="4"/>
      <charset val="136"/>
    </font>
    <font>
      <sz val="10"/>
      <color indexed="8"/>
      <name val="標楷體"/>
      <family val="4"/>
      <charset val="136"/>
    </font>
    <font>
      <sz val="10"/>
      <name val="標楷體"/>
      <family val="4"/>
      <charset val="136"/>
    </font>
    <font>
      <sz val="12"/>
      <name val="Times New Roman"/>
      <family val="1"/>
    </font>
    <font>
      <b/>
      <u/>
      <sz val="12"/>
      <name val="Times New Roman"/>
      <family val="1"/>
    </font>
    <font>
      <u/>
      <sz val="12"/>
      <name val="Times New Roman"/>
      <family val="1"/>
    </font>
    <font>
      <b/>
      <sz val="12"/>
      <name val="Times New Roman"/>
      <family val="1"/>
    </font>
    <font>
      <sz val="12"/>
      <color theme="1"/>
      <name val="Times New Roman"/>
      <family val="1"/>
    </font>
    <font>
      <b/>
      <sz val="10"/>
      <name val="標楷體"/>
      <family val="4"/>
      <charset val="136"/>
    </font>
    <font>
      <b/>
      <sz val="11"/>
      <color indexed="8"/>
      <name val="標楷體"/>
      <family val="4"/>
      <charset val="136"/>
    </font>
    <font>
      <b/>
      <sz val="12"/>
      <color indexed="10"/>
      <name val="標楷體"/>
      <family val="4"/>
      <charset val="136"/>
    </font>
    <font>
      <b/>
      <u/>
      <sz val="12"/>
      <color rgb="FFFF0000"/>
      <name val="標楷體"/>
      <family val="4"/>
      <charset val="136"/>
    </font>
    <font>
      <b/>
      <u/>
      <sz val="12"/>
      <color rgb="FFFF0000"/>
      <name val="新細明體"/>
      <family val="1"/>
      <charset val="136"/>
    </font>
    <font>
      <sz val="14"/>
      <color indexed="10"/>
      <name val="標楷體"/>
      <family val="4"/>
      <charset val="136"/>
    </font>
    <font>
      <sz val="12"/>
      <color rgb="FF000000"/>
      <name val="標楷體"/>
      <family val="4"/>
      <charset val="136"/>
    </font>
    <font>
      <sz val="12"/>
      <color indexed="8"/>
      <name val="Times New Roman"/>
      <family val="1"/>
    </font>
  </fonts>
  <fills count="8">
    <fill>
      <patternFill patternType="none"/>
    </fill>
    <fill>
      <patternFill patternType="gray125"/>
    </fill>
    <fill>
      <patternFill patternType="solid">
        <fgColor theme="7" tint="0.79998168889431442"/>
        <bgColor indexed="64"/>
      </patternFill>
    </fill>
    <fill>
      <patternFill patternType="solid">
        <fgColor theme="8" tint="0.79998168889431442"/>
        <bgColor indexed="64"/>
      </patternFill>
    </fill>
    <fill>
      <patternFill patternType="solid">
        <fgColor rgb="FFFFFF00"/>
        <bgColor indexed="31"/>
      </patternFill>
    </fill>
    <fill>
      <patternFill patternType="solid">
        <fgColor rgb="FFFFFF00"/>
        <bgColor indexed="64"/>
      </patternFill>
    </fill>
    <fill>
      <patternFill patternType="solid">
        <fgColor theme="0"/>
        <bgColor rgb="FFFFC000"/>
      </patternFill>
    </fill>
    <fill>
      <patternFill patternType="solid">
        <fgColor theme="4" tint="0.79998168889431442"/>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s>
  <cellStyleXfs count="1">
    <xf numFmtId="0" fontId="0" fillId="0" borderId="0">
      <alignment vertical="center"/>
    </xf>
  </cellStyleXfs>
  <cellXfs count="93">
    <xf numFmtId="0" fontId="0" fillId="0" borderId="0" xfId="0">
      <alignment vertical="center"/>
    </xf>
    <xf numFmtId="176" fontId="0" fillId="0" borderId="0" xfId="0" applyNumberFormat="1">
      <alignment vertical="center"/>
    </xf>
    <xf numFmtId="0" fontId="2" fillId="0" borderId="0" xfId="0" applyFont="1" applyAlignment="1">
      <alignment horizontal="center" vertical="center"/>
    </xf>
    <xf numFmtId="0" fontId="3" fillId="0" borderId="0" xfId="0" applyFont="1" applyAlignment="1">
      <alignment horizontal="center" vertical="center"/>
    </xf>
    <xf numFmtId="0" fontId="4" fillId="0" borderId="0" xfId="0" applyFont="1" applyAlignment="1">
      <alignment horizontal="center" vertical="center"/>
    </xf>
    <xf numFmtId="0" fontId="5" fillId="0" borderId="0" xfId="0" applyFont="1" applyAlignment="1">
      <alignment horizontal="center" vertical="center"/>
    </xf>
    <xf numFmtId="0" fontId="7" fillId="0" borderId="0" xfId="0" applyFont="1" applyAlignment="1">
      <alignment vertical="center" wrapText="1"/>
    </xf>
    <xf numFmtId="0" fontId="7" fillId="0" borderId="0" xfId="0" applyFont="1">
      <alignment vertical="center"/>
    </xf>
    <xf numFmtId="0" fontId="7" fillId="0" borderId="0" xfId="0" applyFont="1">
      <alignment vertical="center"/>
    </xf>
    <xf numFmtId="0" fontId="8" fillId="0" borderId="0" xfId="0" applyFont="1">
      <alignment vertical="center"/>
    </xf>
    <xf numFmtId="177" fontId="11" fillId="0" borderId="0" xfId="0" applyNumberFormat="1" applyFont="1" applyAlignment="1">
      <alignment horizontal="center" vertical="center"/>
    </xf>
    <xf numFmtId="0" fontId="12" fillId="0" borderId="0" xfId="0" applyFont="1" applyAlignment="1">
      <alignment horizontal="left" vertical="center"/>
    </xf>
    <xf numFmtId="0" fontId="8" fillId="0" borderId="0" xfId="0" applyFont="1" applyAlignment="1">
      <alignment vertical="center" wrapText="1"/>
    </xf>
    <xf numFmtId="0" fontId="7" fillId="0" borderId="0" xfId="0" applyFont="1" applyAlignment="1">
      <alignment vertical="center" wrapText="1"/>
    </xf>
    <xf numFmtId="0" fontId="14" fillId="0" borderId="0" xfId="0" applyFont="1" applyAlignment="1">
      <alignment vertical="center" wrapText="1"/>
    </xf>
    <xf numFmtId="0" fontId="12" fillId="0" borderId="0" xfId="0" applyFont="1">
      <alignment vertical="center"/>
    </xf>
    <xf numFmtId="0" fontId="8" fillId="0" borderId="0" xfId="0" applyFont="1">
      <alignment vertical="center"/>
    </xf>
    <xf numFmtId="3" fontId="11" fillId="0" borderId="0" xfId="0" applyNumberFormat="1" applyFont="1" applyAlignment="1">
      <alignment horizontal="right" vertical="center"/>
    </xf>
    <xf numFmtId="0" fontId="12" fillId="0" borderId="0" xfId="0" applyFont="1" applyAlignment="1">
      <alignment horizontal="right" vertical="center"/>
    </xf>
    <xf numFmtId="3" fontId="16" fillId="0" borderId="0" xfId="0" applyNumberFormat="1" applyFont="1" applyAlignment="1">
      <alignment horizontal="center" vertical="center"/>
    </xf>
    <xf numFmtId="0" fontId="16" fillId="0" borderId="0" xfId="0" applyFont="1" applyAlignment="1">
      <alignment horizontal="center" vertical="center"/>
    </xf>
    <xf numFmtId="0" fontId="12" fillId="0" borderId="0" xfId="0" applyFont="1">
      <alignment vertical="center"/>
    </xf>
    <xf numFmtId="0" fontId="12" fillId="0" borderId="0" xfId="0" applyFont="1" applyAlignment="1">
      <alignment vertical="center" wrapText="1"/>
    </xf>
    <xf numFmtId="0" fontId="5" fillId="0" borderId="1" xfId="0" applyFont="1" applyBorder="1">
      <alignment vertical="center"/>
    </xf>
    <xf numFmtId="0" fontId="22" fillId="0" borderId="1" xfId="0" applyFont="1" applyBorder="1">
      <alignment vertical="center"/>
    </xf>
    <xf numFmtId="0" fontId="8" fillId="0" borderId="1" xfId="0" applyFont="1" applyBorder="1">
      <alignment vertical="center"/>
    </xf>
    <xf numFmtId="0" fontId="7" fillId="0" borderId="1" xfId="0" applyFont="1" applyBorder="1">
      <alignment vertical="center"/>
    </xf>
    <xf numFmtId="0" fontId="8" fillId="0" borderId="1" xfId="0" applyFont="1" applyBorder="1" applyAlignment="1">
      <alignment horizontal="right" vertical="center"/>
    </xf>
    <xf numFmtId="0" fontId="8" fillId="0" borderId="1" xfId="0" applyFont="1" applyBorder="1" applyAlignment="1">
      <alignment horizontal="center" vertical="center" wrapText="1"/>
    </xf>
    <xf numFmtId="0" fontId="8" fillId="0" borderId="1" xfId="0" applyFont="1" applyBorder="1" applyAlignment="1">
      <alignment horizontal="center" vertical="center" wrapText="1"/>
    </xf>
    <xf numFmtId="0" fontId="23" fillId="0" borderId="1" xfId="0" applyFont="1" applyBorder="1" applyAlignment="1">
      <alignment horizontal="center" vertical="center" wrapText="1"/>
    </xf>
    <xf numFmtId="0" fontId="24" fillId="0" borderId="1" xfId="0" applyFont="1" applyBorder="1" applyAlignment="1">
      <alignment horizontal="center" vertical="center" wrapText="1"/>
    </xf>
    <xf numFmtId="0" fontId="22" fillId="0" borderId="1" xfId="0" applyFont="1" applyBorder="1" applyAlignment="1">
      <alignment vertical="center" wrapText="1"/>
    </xf>
    <xf numFmtId="0" fontId="8" fillId="0" borderId="1" xfId="0" applyFont="1" applyBorder="1" applyAlignment="1">
      <alignment vertical="center" wrapText="1"/>
    </xf>
    <xf numFmtId="0" fontId="26" fillId="0" borderId="1" xfId="0" applyFont="1" applyBorder="1" applyAlignment="1">
      <alignment horizontal="center" vertical="center" wrapText="1"/>
    </xf>
    <xf numFmtId="0" fontId="0" fillId="0" borderId="1" xfId="0" applyBorder="1" applyAlignment="1">
      <alignment horizontal="center" vertical="center" wrapText="1"/>
    </xf>
    <xf numFmtId="0" fontId="22" fillId="2" borderId="1" xfId="0" applyFont="1" applyFill="1" applyBorder="1" applyAlignment="1">
      <alignment vertical="center" wrapText="1"/>
    </xf>
    <xf numFmtId="0" fontId="8" fillId="2" borderId="1" xfId="0" applyFont="1" applyFill="1" applyBorder="1" applyAlignment="1">
      <alignment vertical="center" wrapText="1"/>
    </xf>
    <xf numFmtId="0" fontId="8" fillId="2" borderId="1" xfId="0" applyFont="1" applyFill="1" applyBorder="1">
      <alignment vertical="center"/>
    </xf>
    <xf numFmtId="0" fontId="26" fillId="2" borderId="1" xfId="0" applyFont="1" applyFill="1" applyBorder="1" applyAlignment="1">
      <alignment vertical="center" wrapText="1"/>
    </xf>
    <xf numFmtId="0" fontId="27" fillId="0" borderId="1" xfId="0" applyFont="1" applyBorder="1" applyAlignment="1">
      <alignment vertical="center" wrapText="1"/>
    </xf>
    <xf numFmtId="3" fontId="28" fillId="0" borderId="1" xfId="0" applyNumberFormat="1" applyFont="1" applyBorder="1">
      <alignment vertical="center"/>
    </xf>
    <xf numFmtId="177" fontId="28" fillId="0" borderId="1" xfId="0" applyNumberFormat="1" applyFont="1" applyBorder="1">
      <alignment vertical="center"/>
    </xf>
    <xf numFmtId="177" fontId="8" fillId="0" borderId="1" xfId="0" applyNumberFormat="1" applyFont="1" applyBorder="1">
      <alignment vertical="center"/>
    </xf>
    <xf numFmtId="10" fontId="8" fillId="0" borderId="1" xfId="0" applyNumberFormat="1" applyFont="1" applyBorder="1">
      <alignment vertical="center"/>
    </xf>
    <xf numFmtId="0" fontId="26" fillId="0" borderId="1" xfId="0" applyFont="1" applyBorder="1" applyAlignment="1">
      <alignment vertical="center" wrapText="1"/>
    </xf>
    <xf numFmtId="0" fontId="0" fillId="0" borderId="1" xfId="0" applyBorder="1" applyAlignment="1">
      <alignment vertical="center" wrapText="1"/>
    </xf>
    <xf numFmtId="177" fontId="29" fillId="0" borderId="1" xfId="0" applyNumberFormat="1" applyFont="1" applyBorder="1">
      <alignment vertical="center"/>
    </xf>
    <xf numFmtId="10" fontId="26" fillId="0" borderId="1" xfId="0" applyNumberFormat="1" applyFont="1" applyBorder="1" applyAlignment="1">
      <alignment horizontal="left" vertical="center" wrapText="1"/>
    </xf>
    <xf numFmtId="0" fontId="26" fillId="0" borderId="1" xfId="0" applyFont="1" applyBorder="1" applyAlignment="1">
      <alignment horizontal="left" vertical="center" wrapText="1"/>
    </xf>
    <xf numFmtId="3" fontId="30" fillId="0" borderId="1" xfId="0" applyNumberFormat="1" applyFont="1" applyBorder="1">
      <alignment vertical="center"/>
    </xf>
    <xf numFmtId="3" fontId="29" fillId="0" borderId="1" xfId="0" applyNumberFormat="1" applyFont="1" applyBorder="1">
      <alignment vertical="center"/>
    </xf>
    <xf numFmtId="0" fontId="27" fillId="3" borderId="1" xfId="0" applyFont="1" applyFill="1" applyBorder="1" applyAlignment="1">
      <alignment vertical="center" wrapText="1"/>
    </xf>
    <xf numFmtId="0" fontId="22" fillId="4" borderId="1" xfId="0" applyFont="1" applyFill="1" applyBorder="1" applyAlignment="1">
      <alignment horizontal="center" vertical="center" wrapText="1"/>
    </xf>
    <xf numFmtId="3" fontId="31" fillId="5" borderId="1" xfId="0" applyNumberFormat="1" applyFont="1" applyFill="1" applyBorder="1">
      <alignment vertical="center"/>
    </xf>
    <xf numFmtId="10" fontId="22" fillId="4" borderId="1" xfId="0" applyNumberFormat="1" applyFont="1" applyFill="1" applyBorder="1">
      <alignment vertical="center"/>
    </xf>
    <xf numFmtId="0" fontId="22" fillId="4" borderId="1" xfId="0" applyFont="1" applyFill="1" applyBorder="1" applyAlignment="1">
      <alignment horizontal="left" vertical="top"/>
    </xf>
    <xf numFmtId="0" fontId="0" fillId="5" borderId="1" xfId="0" applyFill="1" applyBorder="1" applyAlignment="1">
      <alignment horizontal="left" vertical="top"/>
    </xf>
    <xf numFmtId="177" fontId="30" fillId="0" borderId="1" xfId="0" applyNumberFormat="1" applyFont="1" applyBorder="1">
      <alignment vertical="center"/>
    </xf>
    <xf numFmtId="3" fontId="31" fillId="0" borderId="1" xfId="0" applyNumberFormat="1" applyFont="1" applyBorder="1">
      <alignment vertical="center"/>
    </xf>
    <xf numFmtId="0" fontId="0" fillId="3" borderId="1" xfId="0" applyFill="1" applyBorder="1" applyAlignment="1">
      <alignment vertical="center" wrapText="1"/>
    </xf>
    <xf numFmtId="177" fontId="31" fillId="0" borderId="1" xfId="0" applyNumberFormat="1" applyFont="1" applyBorder="1">
      <alignment vertical="center"/>
    </xf>
    <xf numFmtId="177" fontId="32" fillId="6" borderId="1" xfId="0" applyNumberFormat="1" applyFont="1" applyFill="1" applyBorder="1">
      <alignment vertical="center"/>
    </xf>
    <xf numFmtId="177" fontId="32" fillId="0" borderId="1" xfId="0" applyNumberFormat="1" applyFont="1" applyBorder="1">
      <alignment vertical="center"/>
    </xf>
    <xf numFmtId="0" fontId="27" fillId="0" borderId="1" xfId="0" applyFont="1" applyBorder="1" applyAlignment="1">
      <alignment horizontal="center" vertical="center" wrapText="1"/>
    </xf>
    <xf numFmtId="0" fontId="8" fillId="0" borderId="1" xfId="0" applyFont="1" applyBorder="1" applyAlignment="1">
      <alignment vertical="top" wrapText="1"/>
    </xf>
    <xf numFmtId="3" fontId="8" fillId="0" borderId="1" xfId="0" applyNumberFormat="1" applyFont="1" applyBorder="1" applyAlignment="1">
      <alignment vertical="top"/>
    </xf>
    <xf numFmtId="3" fontId="22" fillId="0" borderId="1" xfId="0" applyNumberFormat="1" applyFont="1" applyBorder="1" applyAlignment="1">
      <alignment vertical="top"/>
    </xf>
    <xf numFmtId="0" fontId="8" fillId="0" borderId="1" xfId="0" applyFont="1" applyBorder="1" applyAlignment="1">
      <alignment vertical="top"/>
    </xf>
    <xf numFmtId="0" fontId="8" fillId="0" borderId="1" xfId="0" applyFont="1" applyBorder="1" applyAlignment="1">
      <alignment horizontal="left" vertical="top" wrapText="1"/>
    </xf>
    <xf numFmtId="3" fontId="29" fillId="2" borderId="1" xfId="0" applyNumberFormat="1" applyFont="1" applyFill="1" applyBorder="1">
      <alignment vertical="center"/>
    </xf>
    <xf numFmtId="0" fontId="22" fillId="7" borderId="1" xfId="0" applyFont="1" applyFill="1" applyBorder="1" applyAlignment="1">
      <alignment horizontal="center" vertical="center" wrapText="1"/>
    </xf>
    <xf numFmtId="3" fontId="34" fillId="7" borderId="1" xfId="0" applyNumberFormat="1" applyFont="1" applyFill="1" applyBorder="1" applyAlignment="1">
      <alignment vertical="center" wrapText="1"/>
    </xf>
    <xf numFmtId="10" fontId="34" fillId="7" borderId="1" xfId="0" applyNumberFormat="1" applyFont="1" applyFill="1" applyBorder="1">
      <alignment vertical="center"/>
    </xf>
    <xf numFmtId="0" fontId="8" fillId="7" borderId="1" xfId="0" applyFont="1" applyFill="1" applyBorder="1" applyAlignment="1">
      <alignment horizontal="left" vertical="top" wrapText="1"/>
    </xf>
    <xf numFmtId="0" fontId="8" fillId="0" borderId="2" xfId="0" applyFont="1" applyBorder="1" applyAlignment="1">
      <alignment horizontal="left" vertical="center" wrapText="1"/>
    </xf>
    <xf numFmtId="0" fontId="0" fillId="0" borderId="2" xfId="0" applyBorder="1" applyAlignment="1">
      <alignment horizontal="left" vertical="center" wrapText="1"/>
    </xf>
    <xf numFmtId="0" fontId="22" fillId="0" borderId="0" xfId="0" applyFont="1" applyAlignment="1">
      <alignment horizontal="center" vertical="center" wrapText="1"/>
    </xf>
    <xf numFmtId="0" fontId="8" fillId="0" borderId="0" xfId="0" applyFont="1" applyAlignment="1">
      <alignment horizontal="left" vertical="center" wrapText="1"/>
    </xf>
    <xf numFmtId="0" fontId="8" fillId="0" borderId="0" xfId="0" applyFont="1" applyAlignment="1">
      <alignment horizontal="left" vertical="center" wrapText="1"/>
    </xf>
    <xf numFmtId="0" fontId="23" fillId="0" borderId="0" xfId="0" applyFont="1" applyAlignment="1">
      <alignment horizontal="left" vertical="center" wrapText="1"/>
    </xf>
    <xf numFmtId="0" fontId="0" fillId="0" borderId="0" xfId="0" applyAlignment="1">
      <alignment vertical="center" wrapText="1"/>
    </xf>
    <xf numFmtId="177" fontId="36" fillId="0" borderId="0" xfId="0" applyNumberFormat="1" applyFont="1" applyAlignment="1">
      <alignment vertical="center" wrapText="1"/>
    </xf>
    <xf numFmtId="0" fontId="37" fillId="0" borderId="0" xfId="0" applyFont="1" applyAlignment="1">
      <alignment vertical="center" wrapText="1"/>
    </xf>
    <xf numFmtId="3" fontId="37" fillId="0" borderId="0" xfId="0" applyNumberFormat="1" applyFont="1" applyAlignment="1">
      <alignment horizontal="center" vertical="center" wrapText="1"/>
    </xf>
    <xf numFmtId="0" fontId="0" fillId="0" borderId="0" xfId="0" applyAlignment="1">
      <alignment vertical="center" wrapText="1"/>
    </xf>
    <xf numFmtId="3" fontId="0" fillId="0" borderId="0" xfId="0" applyNumberFormat="1" applyAlignment="1">
      <alignment vertical="center" wrapText="1"/>
    </xf>
    <xf numFmtId="0" fontId="0" fillId="0" borderId="0" xfId="0">
      <alignment vertical="center"/>
    </xf>
    <xf numFmtId="0" fontId="39" fillId="0" borderId="0" xfId="0" applyFont="1">
      <alignment vertical="center"/>
    </xf>
    <xf numFmtId="177" fontId="8" fillId="0" borderId="0" xfId="0" applyNumberFormat="1" applyFont="1">
      <alignment vertical="center"/>
    </xf>
    <xf numFmtId="0" fontId="8" fillId="0" borderId="0" xfId="0" applyFont="1" applyAlignment="1">
      <alignment horizontal="left" vertical="center"/>
    </xf>
    <xf numFmtId="0" fontId="40" fillId="0" borderId="0" xfId="0" applyFont="1">
      <alignment vertical="center"/>
    </xf>
    <xf numFmtId="3" fontId="40" fillId="0" borderId="0" xfId="0" applyNumberFormat="1" applyFont="1">
      <alignment vertical="center"/>
    </xf>
  </cellXfs>
  <cellStyles count="1">
    <cellStyle name="一般"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0BCE02-1AA3-41AB-8F64-D8A9AC24FDD9}">
  <sheetPr>
    <pageSetUpPr fitToPage="1"/>
  </sheetPr>
  <dimension ref="A1:P213"/>
  <sheetViews>
    <sheetView tabSelected="1" topLeftCell="A4" zoomScale="70" zoomScaleNormal="70" workbookViewId="0">
      <selection activeCell="A197" sqref="A197:XFD197"/>
    </sheetView>
  </sheetViews>
  <sheetFormatPr defaultColWidth="9.5" defaultRowHeight="16.5" x14ac:dyDescent="0.25"/>
  <cols>
    <col min="1" max="2" width="13.5" customWidth="1"/>
    <col min="3" max="3" width="16" customWidth="1"/>
    <col min="4" max="4" width="15.125" customWidth="1"/>
    <col min="5" max="5" width="13" customWidth="1"/>
    <col min="6" max="6" width="14.125" customWidth="1"/>
    <col min="7" max="8" width="13" customWidth="1"/>
    <col min="9" max="9" width="16.375" customWidth="1"/>
    <col min="10" max="10" width="10.625" customWidth="1"/>
    <col min="11" max="12" width="17" customWidth="1"/>
    <col min="13" max="16" width="9.5" style="1"/>
    <col min="200" max="201" width="13.5" customWidth="1"/>
    <col min="202" max="202" width="16" customWidth="1"/>
    <col min="203" max="203" width="15.125" customWidth="1"/>
    <col min="204" max="207" width="13" customWidth="1"/>
    <col min="208" max="208" width="16.375" customWidth="1"/>
    <col min="209" max="209" width="10.625" customWidth="1"/>
    <col min="210" max="211" width="17" customWidth="1"/>
    <col min="212" max="212" width="14" customWidth="1"/>
    <col min="213" max="213" width="14.625" bestFit="1" customWidth="1"/>
    <col min="214" max="214" width="12" customWidth="1"/>
    <col min="215" max="215" width="15.875" bestFit="1" customWidth="1"/>
    <col min="216" max="216" width="14.5" bestFit="1" customWidth="1"/>
    <col min="217" max="217" width="14.5" customWidth="1"/>
    <col min="218" max="219" width="15.875" bestFit="1" customWidth="1"/>
    <col min="220" max="220" width="14.25" bestFit="1" customWidth="1"/>
    <col min="221" max="221" width="15.875" bestFit="1" customWidth="1"/>
    <col min="456" max="457" width="13.5" customWidth="1"/>
    <col min="458" max="458" width="16" customWidth="1"/>
    <col min="459" max="459" width="15.125" customWidth="1"/>
    <col min="460" max="463" width="13" customWidth="1"/>
    <col min="464" max="464" width="16.375" customWidth="1"/>
    <col min="465" max="465" width="10.625" customWidth="1"/>
    <col min="466" max="467" width="17" customWidth="1"/>
    <col min="468" max="468" width="14" customWidth="1"/>
    <col min="469" max="469" width="14.625" bestFit="1" customWidth="1"/>
    <col min="470" max="470" width="12" customWidth="1"/>
    <col min="471" max="471" width="15.875" bestFit="1" customWidth="1"/>
    <col min="472" max="472" width="14.5" bestFit="1" customWidth="1"/>
    <col min="473" max="473" width="14.5" customWidth="1"/>
    <col min="474" max="475" width="15.875" bestFit="1" customWidth="1"/>
    <col min="476" max="476" width="14.25" bestFit="1" customWidth="1"/>
    <col min="477" max="477" width="15.875" bestFit="1" customWidth="1"/>
    <col min="712" max="713" width="13.5" customWidth="1"/>
    <col min="714" max="714" width="16" customWidth="1"/>
    <col min="715" max="715" width="15.125" customWidth="1"/>
    <col min="716" max="719" width="13" customWidth="1"/>
    <col min="720" max="720" width="16.375" customWidth="1"/>
    <col min="721" max="721" width="10.625" customWidth="1"/>
    <col min="722" max="723" width="17" customWidth="1"/>
    <col min="724" max="724" width="14" customWidth="1"/>
    <col min="725" max="725" width="14.625" bestFit="1" customWidth="1"/>
    <col min="726" max="726" width="12" customWidth="1"/>
    <col min="727" max="727" width="15.875" bestFit="1" customWidth="1"/>
    <col min="728" max="728" width="14.5" bestFit="1" customWidth="1"/>
    <col min="729" max="729" width="14.5" customWidth="1"/>
    <col min="730" max="731" width="15.875" bestFit="1" customWidth="1"/>
    <col min="732" max="732" width="14.25" bestFit="1" customWidth="1"/>
    <col min="733" max="733" width="15.875" bestFit="1" customWidth="1"/>
    <col min="968" max="969" width="13.5" customWidth="1"/>
    <col min="970" max="970" width="16" customWidth="1"/>
    <col min="971" max="971" width="15.125" customWidth="1"/>
    <col min="972" max="975" width="13" customWidth="1"/>
    <col min="976" max="976" width="16.375" customWidth="1"/>
    <col min="977" max="977" width="10.625" customWidth="1"/>
    <col min="978" max="979" width="17" customWidth="1"/>
    <col min="980" max="980" width="14" customWidth="1"/>
    <col min="981" max="981" width="14.625" bestFit="1" customWidth="1"/>
    <col min="982" max="982" width="12" customWidth="1"/>
    <col min="983" max="983" width="15.875" bestFit="1" customWidth="1"/>
    <col min="984" max="984" width="14.5" bestFit="1" customWidth="1"/>
    <col min="985" max="985" width="14.5" customWidth="1"/>
    <col min="986" max="987" width="15.875" bestFit="1" customWidth="1"/>
    <col min="988" max="988" width="14.25" bestFit="1" customWidth="1"/>
    <col min="989" max="989" width="15.875" bestFit="1" customWidth="1"/>
    <col min="1224" max="1225" width="13.5" customWidth="1"/>
    <col min="1226" max="1226" width="16" customWidth="1"/>
    <col min="1227" max="1227" width="15.125" customWidth="1"/>
    <col min="1228" max="1231" width="13" customWidth="1"/>
    <col min="1232" max="1232" width="16.375" customWidth="1"/>
    <col min="1233" max="1233" width="10.625" customWidth="1"/>
    <col min="1234" max="1235" width="17" customWidth="1"/>
    <col min="1236" max="1236" width="14" customWidth="1"/>
    <col min="1237" max="1237" width="14.625" bestFit="1" customWidth="1"/>
    <col min="1238" max="1238" width="12" customWidth="1"/>
    <col min="1239" max="1239" width="15.875" bestFit="1" customWidth="1"/>
    <col min="1240" max="1240" width="14.5" bestFit="1" customWidth="1"/>
    <col min="1241" max="1241" width="14.5" customWidth="1"/>
    <col min="1242" max="1243" width="15.875" bestFit="1" customWidth="1"/>
    <col min="1244" max="1244" width="14.25" bestFit="1" customWidth="1"/>
    <col min="1245" max="1245" width="15.875" bestFit="1" customWidth="1"/>
    <col min="1480" max="1481" width="13.5" customWidth="1"/>
    <col min="1482" max="1482" width="16" customWidth="1"/>
    <col min="1483" max="1483" width="15.125" customWidth="1"/>
    <col min="1484" max="1487" width="13" customWidth="1"/>
    <col min="1488" max="1488" width="16.375" customWidth="1"/>
    <col min="1489" max="1489" width="10.625" customWidth="1"/>
    <col min="1490" max="1491" width="17" customWidth="1"/>
    <col min="1492" max="1492" width="14" customWidth="1"/>
    <col min="1493" max="1493" width="14.625" bestFit="1" customWidth="1"/>
    <col min="1494" max="1494" width="12" customWidth="1"/>
    <col min="1495" max="1495" width="15.875" bestFit="1" customWidth="1"/>
    <col min="1496" max="1496" width="14.5" bestFit="1" customWidth="1"/>
    <col min="1497" max="1497" width="14.5" customWidth="1"/>
    <col min="1498" max="1499" width="15.875" bestFit="1" customWidth="1"/>
    <col min="1500" max="1500" width="14.25" bestFit="1" customWidth="1"/>
    <col min="1501" max="1501" width="15.875" bestFit="1" customWidth="1"/>
    <col min="1736" max="1737" width="13.5" customWidth="1"/>
    <col min="1738" max="1738" width="16" customWidth="1"/>
    <col min="1739" max="1739" width="15.125" customWidth="1"/>
    <col min="1740" max="1743" width="13" customWidth="1"/>
    <col min="1744" max="1744" width="16.375" customWidth="1"/>
    <col min="1745" max="1745" width="10.625" customWidth="1"/>
    <col min="1746" max="1747" width="17" customWidth="1"/>
    <col min="1748" max="1748" width="14" customWidth="1"/>
    <col min="1749" max="1749" width="14.625" bestFit="1" customWidth="1"/>
    <col min="1750" max="1750" width="12" customWidth="1"/>
    <col min="1751" max="1751" width="15.875" bestFit="1" customWidth="1"/>
    <col min="1752" max="1752" width="14.5" bestFit="1" customWidth="1"/>
    <col min="1753" max="1753" width="14.5" customWidth="1"/>
    <col min="1754" max="1755" width="15.875" bestFit="1" customWidth="1"/>
    <col min="1756" max="1756" width="14.25" bestFit="1" customWidth="1"/>
    <col min="1757" max="1757" width="15.875" bestFit="1" customWidth="1"/>
    <col min="1992" max="1993" width="13.5" customWidth="1"/>
    <col min="1994" max="1994" width="16" customWidth="1"/>
    <col min="1995" max="1995" width="15.125" customWidth="1"/>
    <col min="1996" max="1999" width="13" customWidth="1"/>
    <col min="2000" max="2000" width="16.375" customWidth="1"/>
    <col min="2001" max="2001" width="10.625" customWidth="1"/>
    <col min="2002" max="2003" width="17" customWidth="1"/>
    <col min="2004" max="2004" width="14" customWidth="1"/>
    <col min="2005" max="2005" width="14.625" bestFit="1" customWidth="1"/>
    <col min="2006" max="2006" width="12" customWidth="1"/>
    <col min="2007" max="2007" width="15.875" bestFit="1" customWidth="1"/>
    <col min="2008" max="2008" width="14.5" bestFit="1" customWidth="1"/>
    <col min="2009" max="2009" width="14.5" customWidth="1"/>
    <col min="2010" max="2011" width="15.875" bestFit="1" customWidth="1"/>
    <col min="2012" max="2012" width="14.25" bestFit="1" customWidth="1"/>
    <col min="2013" max="2013" width="15.875" bestFit="1" customWidth="1"/>
    <col min="2248" max="2249" width="13.5" customWidth="1"/>
    <col min="2250" max="2250" width="16" customWidth="1"/>
    <col min="2251" max="2251" width="15.125" customWidth="1"/>
    <col min="2252" max="2255" width="13" customWidth="1"/>
    <col min="2256" max="2256" width="16.375" customWidth="1"/>
    <col min="2257" max="2257" width="10.625" customWidth="1"/>
    <col min="2258" max="2259" width="17" customWidth="1"/>
    <col min="2260" max="2260" width="14" customWidth="1"/>
    <col min="2261" max="2261" width="14.625" bestFit="1" customWidth="1"/>
    <col min="2262" max="2262" width="12" customWidth="1"/>
    <col min="2263" max="2263" width="15.875" bestFit="1" customWidth="1"/>
    <col min="2264" max="2264" width="14.5" bestFit="1" customWidth="1"/>
    <col min="2265" max="2265" width="14.5" customWidth="1"/>
    <col min="2266" max="2267" width="15.875" bestFit="1" customWidth="1"/>
    <col min="2268" max="2268" width="14.25" bestFit="1" customWidth="1"/>
    <col min="2269" max="2269" width="15.875" bestFit="1" customWidth="1"/>
    <col min="2504" max="2505" width="13.5" customWidth="1"/>
    <col min="2506" max="2506" width="16" customWidth="1"/>
    <col min="2507" max="2507" width="15.125" customWidth="1"/>
    <col min="2508" max="2511" width="13" customWidth="1"/>
    <col min="2512" max="2512" width="16.375" customWidth="1"/>
    <col min="2513" max="2513" width="10.625" customWidth="1"/>
    <col min="2514" max="2515" width="17" customWidth="1"/>
    <col min="2516" max="2516" width="14" customWidth="1"/>
    <col min="2517" max="2517" width="14.625" bestFit="1" customWidth="1"/>
    <col min="2518" max="2518" width="12" customWidth="1"/>
    <col min="2519" max="2519" width="15.875" bestFit="1" customWidth="1"/>
    <col min="2520" max="2520" width="14.5" bestFit="1" customWidth="1"/>
    <col min="2521" max="2521" width="14.5" customWidth="1"/>
    <col min="2522" max="2523" width="15.875" bestFit="1" customWidth="1"/>
    <col min="2524" max="2524" width="14.25" bestFit="1" customWidth="1"/>
    <col min="2525" max="2525" width="15.875" bestFit="1" customWidth="1"/>
    <col min="2760" max="2761" width="13.5" customWidth="1"/>
    <col min="2762" max="2762" width="16" customWidth="1"/>
    <col min="2763" max="2763" width="15.125" customWidth="1"/>
    <col min="2764" max="2767" width="13" customWidth="1"/>
    <col min="2768" max="2768" width="16.375" customWidth="1"/>
    <col min="2769" max="2769" width="10.625" customWidth="1"/>
    <col min="2770" max="2771" width="17" customWidth="1"/>
    <col min="2772" max="2772" width="14" customWidth="1"/>
    <col min="2773" max="2773" width="14.625" bestFit="1" customWidth="1"/>
    <col min="2774" max="2774" width="12" customWidth="1"/>
    <col min="2775" max="2775" width="15.875" bestFit="1" customWidth="1"/>
    <col min="2776" max="2776" width="14.5" bestFit="1" customWidth="1"/>
    <col min="2777" max="2777" width="14.5" customWidth="1"/>
    <col min="2778" max="2779" width="15.875" bestFit="1" customWidth="1"/>
    <col min="2780" max="2780" width="14.25" bestFit="1" customWidth="1"/>
    <col min="2781" max="2781" width="15.875" bestFit="1" customWidth="1"/>
    <col min="3016" max="3017" width="13.5" customWidth="1"/>
    <col min="3018" max="3018" width="16" customWidth="1"/>
    <col min="3019" max="3019" width="15.125" customWidth="1"/>
    <col min="3020" max="3023" width="13" customWidth="1"/>
    <col min="3024" max="3024" width="16.375" customWidth="1"/>
    <col min="3025" max="3025" width="10.625" customWidth="1"/>
    <col min="3026" max="3027" width="17" customWidth="1"/>
    <col min="3028" max="3028" width="14" customWidth="1"/>
    <col min="3029" max="3029" width="14.625" bestFit="1" customWidth="1"/>
    <col min="3030" max="3030" width="12" customWidth="1"/>
    <col min="3031" max="3031" width="15.875" bestFit="1" customWidth="1"/>
    <col min="3032" max="3032" width="14.5" bestFit="1" customWidth="1"/>
    <col min="3033" max="3033" width="14.5" customWidth="1"/>
    <col min="3034" max="3035" width="15.875" bestFit="1" customWidth="1"/>
    <col min="3036" max="3036" width="14.25" bestFit="1" customWidth="1"/>
    <col min="3037" max="3037" width="15.875" bestFit="1" customWidth="1"/>
    <col min="3272" max="3273" width="13.5" customWidth="1"/>
    <col min="3274" max="3274" width="16" customWidth="1"/>
    <col min="3275" max="3275" width="15.125" customWidth="1"/>
    <col min="3276" max="3279" width="13" customWidth="1"/>
    <col min="3280" max="3280" width="16.375" customWidth="1"/>
    <col min="3281" max="3281" width="10.625" customWidth="1"/>
    <col min="3282" max="3283" width="17" customWidth="1"/>
    <col min="3284" max="3284" width="14" customWidth="1"/>
    <col min="3285" max="3285" width="14.625" bestFit="1" customWidth="1"/>
    <col min="3286" max="3286" width="12" customWidth="1"/>
    <col min="3287" max="3287" width="15.875" bestFit="1" customWidth="1"/>
    <col min="3288" max="3288" width="14.5" bestFit="1" customWidth="1"/>
    <col min="3289" max="3289" width="14.5" customWidth="1"/>
    <col min="3290" max="3291" width="15.875" bestFit="1" customWidth="1"/>
    <col min="3292" max="3292" width="14.25" bestFit="1" customWidth="1"/>
    <col min="3293" max="3293" width="15.875" bestFit="1" customWidth="1"/>
    <col min="3528" max="3529" width="13.5" customWidth="1"/>
    <col min="3530" max="3530" width="16" customWidth="1"/>
    <col min="3531" max="3531" width="15.125" customWidth="1"/>
    <col min="3532" max="3535" width="13" customWidth="1"/>
    <col min="3536" max="3536" width="16.375" customWidth="1"/>
    <col min="3537" max="3537" width="10.625" customWidth="1"/>
    <col min="3538" max="3539" width="17" customWidth="1"/>
    <col min="3540" max="3540" width="14" customWidth="1"/>
    <col min="3541" max="3541" width="14.625" bestFit="1" customWidth="1"/>
    <col min="3542" max="3542" width="12" customWidth="1"/>
    <col min="3543" max="3543" width="15.875" bestFit="1" customWidth="1"/>
    <col min="3544" max="3544" width="14.5" bestFit="1" customWidth="1"/>
    <col min="3545" max="3545" width="14.5" customWidth="1"/>
    <col min="3546" max="3547" width="15.875" bestFit="1" customWidth="1"/>
    <col min="3548" max="3548" width="14.25" bestFit="1" customWidth="1"/>
    <col min="3549" max="3549" width="15.875" bestFit="1" customWidth="1"/>
    <col min="3784" max="3785" width="13.5" customWidth="1"/>
    <col min="3786" max="3786" width="16" customWidth="1"/>
    <col min="3787" max="3787" width="15.125" customWidth="1"/>
    <col min="3788" max="3791" width="13" customWidth="1"/>
    <col min="3792" max="3792" width="16.375" customWidth="1"/>
    <col min="3793" max="3793" width="10.625" customWidth="1"/>
    <col min="3794" max="3795" width="17" customWidth="1"/>
    <col min="3796" max="3796" width="14" customWidth="1"/>
    <col min="3797" max="3797" width="14.625" bestFit="1" customWidth="1"/>
    <col min="3798" max="3798" width="12" customWidth="1"/>
    <col min="3799" max="3799" width="15.875" bestFit="1" customWidth="1"/>
    <col min="3800" max="3800" width="14.5" bestFit="1" customWidth="1"/>
    <col min="3801" max="3801" width="14.5" customWidth="1"/>
    <col min="3802" max="3803" width="15.875" bestFit="1" customWidth="1"/>
    <col min="3804" max="3804" width="14.25" bestFit="1" customWidth="1"/>
    <col min="3805" max="3805" width="15.875" bestFit="1" customWidth="1"/>
    <col min="4040" max="4041" width="13.5" customWidth="1"/>
    <col min="4042" max="4042" width="16" customWidth="1"/>
    <col min="4043" max="4043" width="15.125" customWidth="1"/>
    <col min="4044" max="4047" width="13" customWidth="1"/>
    <col min="4048" max="4048" width="16.375" customWidth="1"/>
    <col min="4049" max="4049" width="10.625" customWidth="1"/>
    <col min="4050" max="4051" width="17" customWidth="1"/>
    <col min="4052" max="4052" width="14" customWidth="1"/>
    <col min="4053" max="4053" width="14.625" bestFit="1" customWidth="1"/>
    <col min="4054" max="4054" width="12" customWidth="1"/>
    <col min="4055" max="4055" width="15.875" bestFit="1" customWidth="1"/>
    <col min="4056" max="4056" width="14.5" bestFit="1" customWidth="1"/>
    <col min="4057" max="4057" width="14.5" customWidth="1"/>
    <col min="4058" max="4059" width="15.875" bestFit="1" customWidth="1"/>
    <col min="4060" max="4060" width="14.25" bestFit="1" customWidth="1"/>
    <col min="4061" max="4061" width="15.875" bestFit="1" customWidth="1"/>
    <col min="4296" max="4297" width="13.5" customWidth="1"/>
    <col min="4298" max="4298" width="16" customWidth="1"/>
    <col min="4299" max="4299" width="15.125" customWidth="1"/>
    <col min="4300" max="4303" width="13" customWidth="1"/>
    <col min="4304" max="4304" width="16.375" customWidth="1"/>
    <col min="4305" max="4305" width="10.625" customWidth="1"/>
    <col min="4306" max="4307" width="17" customWidth="1"/>
    <col min="4308" max="4308" width="14" customWidth="1"/>
    <col min="4309" max="4309" width="14.625" bestFit="1" customWidth="1"/>
    <col min="4310" max="4310" width="12" customWidth="1"/>
    <col min="4311" max="4311" width="15.875" bestFit="1" customWidth="1"/>
    <col min="4312" max="4312" width="14.5" bestFit="1" customWidth="1"/>
    <col min="4313" max="4313" width="14.5" customWidth="1"/>
    <col min="4314" max="4315" width="15.875" bestFit="1" customWidth="1"/>
    <col min="4316" max="4316" width="14.25" bestFit="1" customWidth="1"/>
    <col min="4317" max="4317" width="15.875" bestFit="1" customWidth="1"/>
    <col min="4552" max="4553" width="13.5" customWidth="1"/>
    <col min="4554" max="4554" width="16" customWidth="1"/>
    <col min="4555" max="4555" width="15.125" customWidth="1"/>
    <col min="4556" max="4559" width="13" customWidth="1"/>
    <col min="4560" max="4560" width="16.375" customWidth="1"/>
    <col min="4561" max="4561" width="10.625" customWidth="1"/>
    <col min="4562" max="4563" width="17" customWidth="1"/>
    <col min="4564" max="4564" width="14" customWidth="1"/>
    <col min="4565" max="4565" width="14.625" bestFit="1" customWidth="1"/>
    <col min="4566" max="4566" width="12" customWidth="1"/>
    <col min="4567" max="4567" width="15.875" bestFit="1" customWidth="1"/>
    <col min="4568" max="4568" width="14.5" bestFit="1" customWidth="1"/>
    <col min="4569" max="4569" width="14.5" customWidth="1"/>
    <col min="4570" max="4571" width="15.875" bestFit="1" customWidth="1"/>
    <col min="4572" max="4572" width="14.25" bestFit="1" customWidth="1"/>
    <col min="4573" max="4573" width="15.875" bestFit="1" customWidth="1"/>
    <col min="4808" max="4809" width="13.5" customWidth="1"/>
    <col min="4810" max="4810" width="16" customWidth="1"/>
    <col min="4811" max="4811" width="15.125" customWidth="1"/>
    <col min="4812" max="4815" width="13" customWidth="1"/>
    <col min="4816" max="4816" width="16.375" customWidth="1"/>
    <col min="4817" max="4817" width="10.625" customWidth="1"/>
    <col min="4818" max="4819" width="17" customWidth="1"/>
    <col min="4820" max="4820" width="14" customWidth="1"/>
    <col min="4821" max="4821" width="14.625" bestFit="1" customWidth="1"/>
    <col min="4822" max="4822" width="12" customWidth="1"/>
    <col min="4823" max="4823" width="15.875" bestFit="1" customWidth="1"/>
    <col min="4824" max="4824" width="14.5" bestFit="1" customWidth="1"/>
    <col min="4825" max="4825" width="14.5" customWidth="1"/>
    <col min="4826" max="4827" width="15.875" bestFit="1" customWidth="1"/>
    <col min="4828" max="4828" width="14.25" bestFit="1" customWidth="1"/>
    <col min="4829" max="4829" width="15.875" bestFit="1" customWidth="1"/>
    <col min="5064" max="5065" width="13.5" customWidth="1"/>
    <col min="5066" max="5066" width="16" customWidth="1"/>
    <col min="5067" max="5067" width="15.125" customWidth="1"/>
    <col min="5068" max="5071" width="13" customWidth="1"/>
    <col min="5072" max="5072" width="16.375" customWidth="1"/>
    <col min="5073" max="5073" width="10.625" customWidth="1"/>
    <col min="5074" max="5075" width="17" customWidth="1"/>
    <col min="5076" max="5076" width="14" customWidth="1"/>
    <col min="5077" max="5077" width="14.625" bestFit="1" customWidth="1"/>
    <col min="5078" max="5078" width="12" customWidth="1"/>
    <col min="5079" max="5079" width="15.875" bestFit="1" customWidth="1"/>
    <col min="5080" max="5080" width="14.5" bestFit="1" customWidth="1"/>
    <col min="5081" max="5081" width="14.5" customWidth="1"/>
    <col min="5082" max="5083" width="15.875" bestFit="1" customWidth="1"/>
    <col min="5084" max="5084" width="14.25" bestFit="1" customWidth="1"/>
    <col min="5085" max="5085" width="15.875" bestFit="1" customWidth="1"/>
    <col min="5320" max="5321" width="13.5" customWidth="1"/>
    <col min="5322" max="5322" width="16" customWidth="1"/>
    <col min="5323" max="5323" width="15.125" customWidth="1"/>
    <col min="5324" max="5327" width="13" customWidth="1"/>
    <col min="5328" max="5328" width="16.375" customWidth="1"/>
    <col min="5329" max="5329" width="10.625" customWidth="1"/>
    <col min="5330" max="5331" width="17" customWidth="1"/>
    <col min="5332" max="5332" width="14" customWidth="1"/>
    <col min="5333" max="5333" width="14.625" bestFit="1" customWidth="1"/>
    <col min="5334" max="5334" width="12" customWidth="1"/>
    <col min="5335" max="5335" width="15.875" bestFit="1" customWidth="1"/>
    <col min="5336" max="5336" width="14.5" bestFit="1" customWidth="1"/>
    <col min="5337" max="5337" width="14.5" customWidth="1"/>
    <col min="5338" max="5339" width="15.875" bestFit="1" customWidth="1"/>
    <col min="5340" max="5340" width="14.25" bestFit="1" customWidth="1"/>
    <col min="5341" max="5341" width="15.875" bestFit="1" customWidth="1"/>
    <col min="5576" max="5577" width="13.5" customWidth="1"/>
    <col min="5578" max="5578" width="16" customWidth="1"/>
    <col min="5579" max="5579" width="15.125" customWidth="1"/>
    <col min="5580" max="5583" width="13" customWidth="1"/>
    <col min="5584" max="5584" width="16.375" customWidth="1"/>
    <col min="5585" max="5585" width="10.625" customWidth="1"/>
    <col min="5586" max="5587" width="17" customWidth="1"/>
    <col min="5588" max="5588" width="14" customWidth="1"/>
    <col min="5589" max="5589" width="14.625" bestFit="1" customWidth="1"/>
    <col min="5590" max="5590" width="12" customWidth="1"/>
    <col min="5591" max="5591" width="15.875" bestFit="1" customWidth="1"/>
    <col min="5592" max="5592" width="14.5" bestFit="1" customWidth="1"/>
    <col min="5593" max="5593" width="14.5" customWidth="1"/>
    <col min="5594" max="5595" width="15.875" bestFit="1" customWidth="1"/>
    <col min="5596" max="5596" width="14.25" bestFit="1" customWidth="1"/>
    <col min="5597" max="5597" width="15.875" bestFit="1" customWidth="1"/>
    <col min="5832" max="5833" width="13.5" customWidth="1"/>
    <col min="5834" max="5834" width="16" customWidth="1"/>
    <col min="5835" max="5835" width="15.125" customWidth="1"/>
    <col min="5836" max="5839" width="13" customWidth="1"/>
    <col min="5840" max="5840" width="16.375" customWidth="1"/>
    <col min="5841" max="5841" width="10.625" customWidth="1"/>
    <col min="5842" max="5843" width="17" customWidth="1"/>
    <col min="5844" max="5844" width="14" customWidth="1"/>
    <col min="5845" max="5845" width="14.625" bestFit="1" customWidth="1"/>
    <col min="5846" max="5846" width="12" customWidth="1"/>
    <col min="5847" max="5847" width="15.875" bestFit="1" customWidth="1"/>
    <col min="5848" max="5848" width="14.5" bestFit="1" customWidth="1"/>
    <col min="5849" max="5849" width="14.5" customWidth="1"/>
    <col min="5850" max="5851" width="15.875" bestFit="1" customWidth="1"/>
    <col min="5852" max="5852" width="14.25" bestFit="1" customWidth="1"/>
    <col min="5853" max="5853" width="15.875" bestFit="1" customWidth="1"/>
    <col min="6088" max="6089" width="13.5" customWidth="1"/>
    <col min="6090" max="6090" width="16" customWidth="1"/>
    <col min="6091" max="6091" width="15.125" customWidth="1"/>
    <col min="6092" max="6095" width="13" customWidth="1"/>
    <col min="6096" max="6096" width="16.375" customWidth="1"/>
    <col min="6097" max="6097" width="10.625" customWidth="1"/>
    <col min="6098" max="6099" width="17" customWidth="1"/>
    <col min="6100" max="6100" width="14" customWidth="1"/>
    <col min="6101" max="6101" width="14.625" bestFit="1" customWidth="1"/>
    <col min="6102" max="6102" width="12" customWidth="1"/>
    <col min="6103" max="6103" width="15.875" bestFit="1" customWidth="1"/>
    <col min="6104" max="6104" width="14.5" bestFit="1" customWidth="1"/>
    <col min="6105" max="6105" width="14.5" customWidth="1"/>
    <col min="6106" max="6107" width="15.875" bestFit="1" customWidth="1"/>
    <col min="6108" max="6108" width="14.25" bestFit="1" customWidth="1"/>
    <col min="6109" max="6109" width="15.875" bestFit="1" customWidth="1"/>
    <col min="6344" max="6345" width="13.5" customWidth="1"/>
    <col min="6346" max="6346" width="16" customWidth="1"/>
    <col min="6347" max="6347" width="15.125" customWidth="1"/>
    <col min="6348" max="6351" width="13" customWidth="1"/>
    <col min="6352" max="6352" width="16.375" customWidth="1"/>
    <col min="6353" max="6353" width="10.625" customWidth="1"/>
    <col min="6354" max="6355" width="17" customWidth="1"/>
    <col min="6356" max="6356" width="14" customWidth="1"/>
    <col min="6357" max="6357" width="14.625" bestFit="1" customWidth="1"/>
    <col min="6358" max="6358" width="12" customWidth="1"/>
    <col min="6359" max="6359" width="15.875" bestFit="1" customWidth="1"/>
    <col min="6360" max="6360" width="14.5" bestFit="1" customWidth="1"/>
    <col min="6361" max="6361" width="14.5" customWidth="1"/>
    <col min="6362" max="6363" width="15.875" bestFit="1" customWidth="1"/>
    <col min="6364" max="6364" width="14.25" bestFit="1" customWidth="1"/>
    <col min="6365" max="6365" width="15.875" bestFit="1" customWidth="1"/>
    <col min="6600" max="6601" width="13.5" customWidth="1"/>
    <col min="6602" max="6602" width="16" customWidth="1"/>
    <col min="6603" max="6603" width="15.125" customWidth="1"/>
    <col min="6604" max="6607" width="13" customWidth="1"/>
    <col min="6608" max="6608" width="16.375" customWidth="1"/>
    <col min="6609" max="6609" width="10.625" customWidth="1"/>
    <col min="6610" max="6611" width="17" customWidth="1"/>
    <col min="6612" max="6612" width="14" customWidth="1"/>
    <col min="6613" max="6613" width="14.625" bestFit="1" customWidth="1"/>
    <col min="6614" max="6614" width="12" customWidth="1"/>
    <col min="6615" max="6615" width="15.875" bestFit="1" customWidth="1"/>
    <col min="6616" max="6616" width="14.5" bestFit="1" customWidth="1"/>
    <col min="6617" max="6617" width="14.5" customWidth="1"/>
    <col min="6618" max="6619" width="15.875" bestFit="1" customWidth="1"/>
    <col min="6620" max="6620" width="14.25" bestFit="1" customWidth="1"/>
    <col min="6621" max="6621" width="15.875" bestFit="1" customWidth="1"/>
    <col min="6856" max="6857" width="13.5" customWidth="1"/>
    <col min="6858" max="6858" width="16" customWidth="1"/>
    <col min="6859" max="6859" width="15.125" customWidth="1"/>
    <col min="6860" max="6863" width="13" customWidth="1"/>
    <col min="6864" max="6864" width="16.375" customWidth="1"/>
    <col min="6865" max="6865" width="10.625" customWidth="1"/>
    <col min="6866" max="6867" width="17" customWidth="1"/>
    <col min="6868" max="6868" width="14" customWidth="1"/>
    <col min="6869" max="6869" width="14.625" bestFit="1" customWidth="1"/>
    <col min="6870" max="6870" width="12" customWidth="1"/>
    <col min="6871" max="6871" width="15.875" bestFit="1" customWidth="1"/>
    <col min="6872" max="6872" width="14.5" bestFit="1" customWidth="1"/>
    <col min="6873" max="6873" width="14.5" customWidth="1"/>
    <col min="6874" max="6875" width="15.875" bestFit="1" customWidth="1"/>
    <col min="6876" max="6876" width="14.25" bestFit="1" customWidth="1"/>
    <col min="6877" max="6877" width="15.875" bestFit="1" customWidth="1"/>
    <col min="7112" max="7113" width="13.5" customWidth="1"/>
    <col min="7114" max="7114" width="16" customWidth="1"/>
    <col min="7115" max="7115" width="15.125" customWidth="1"/>
    <col min="7116" max="7119" width="13" customWidth="1"/>
    <col min="7120" max="7120" width="16.375" customWidth="1"/>
    <col min="7121" max="7121" width="10.625" customWidth="1"/>
    <col min="7122" max="7123" width="17" customWidth="1"/>
    <col min="7124" max="7124" width="14" customWidth="1"/>
    <col min="7125" max="7125" width="14.625" bestFit="1" customWidth="1"/>
    <col min="7126" max="7126" width="12" customWidth="1"/>
    <col min="7127" max="7127" width="15.875" bestFit="1" customWidth="1"/>
    <col min="7128" max="7128" width="14.5" bestFit="1" customWidth="1"/>
    <col min="7129" max="7129" width="14.5" customWidth="1"/>
    <col min="7130" max="7131" width="15.875" bestFit="1" customWidth="1"/>
    <col min="7132" max="7132" width="14.25" bestFit="1" customWidth="1"/>
    <col min="7133" max="7133" width="15.875" bestFit="1" customWidth="1"/>
    <col min="7368" max="7369" width="13.5" customWidth="1"/>
    <col min="7370" max="7370" width="16" customWidth="1"/>
    <col min="7371" max="7371" width="15.125" customWidth="1"/>
    <col min="7372" max="7375" width="13" customWidth="1"/>
    <col min="7376" max="7376" width="16.375" customWidth="1"/>
    <col min="7377" max="7377" width="10.625" customWidth="1"/>
    <col min="7378" max="7379" width="17" customWidth="1"/>
    <col min="7380" max="7380" width="14" customWidth="1"/>
    <col min="7381" max="7381" width="14.625" bestFit="1" customWidth="1"/>
    <col min="7382" max="7382" width="12" customWidth="1"/>
    <col min="7383" max="7383" width="15.875" bestFit="1" customWidth="1"/>
    <col min="7384" max="7384" width="14.5" bestFit="1" customWidth="1"/>
    <col min="7385" max="7385" width="14.5" customWidth="1"/>
    <col min="7386" max="7387" width="15.875" bestFit="1" customWidth="1"/>
    <col min="7388" max="7388" width="14.25" bestFit="1" customWidth="1"/>
    <col min="7389" max="7389" width="15.875" bestFit="1" customWidth="1"/>
    <col min="7624" max="7625" width="13.5" customWidth="1"/>
    <col min="7626" max="7626" width="16" customWidth="1"/>
    <col min="7627" max="7627" width="15.125" customWidth="1"/>
    <col min="7628" max="7631" width="13" customWidth="1"/>
    <col min="7632" max="7632" width="16.375" customWidth="1"/>
    <col min="7633" max="7633" width="10.625" customWidth="1"/>
    <col min="7634" max="7635" width="17" customWidth="1"/>
    <col min="7636" max="7636" width="14" customWidth="1"/>
    <col min="7637" max="7637" width="14.625" bestFit="1" customWidth="1"/>
    <col min="7638" max="7638" width="12" customWidth="1"/>
    <col min="7639" max="7639" width="15.875" bestFit="1" customWidth="1"/>
    <col min="7640" max="7640" width="14.5" bestFit="1" customWidth="1"/>
    <col min="7641" max="7641" width="14.5" customWidth="1"/>
    <col min="7642" max="7643" width="15.875" bestFit="1" customWidth="1"/>
    <col min="7644" max="7644" width="14.25" bestFit="1" customWidth="1"/>
    <col min="7645" max="7645" width="15.875" bestFit="1" customWidth="1"/>
    <col min="7880" max="7881" width="13.5" customWidth="1"/>
    <col min="7882" max="7882" width="16" customWidth="1"/>
    <col min="7883" max="7883" width="15.125" customWidth="1"/>
    <col min="7884" max="7887" width="13" customWidth="1"/>
    <col min="7888" max="7888" width="16.375" customWidth="1"/>
    <col min="7889" max="7889" width="10.625" customWidth="1"/>
    <col min="7890" max="7891" width="17" customWidth="1"/>
    <col min="7892" max="7892" width="14" customWidth="1"/>
    <col min="7893" max="7893" width="14.625" bestFit="1" customWidth="1"/>
    <col min="7894" max="7894" width="12" customWidth="1"/>
    <col min="7895" max="7895" width="15.875" bestFit="1" customWidth="1"/>
    <col min="7896" max="7896" width="14.5" bestFit="1" customWidth="1"/>
    <col min="7897" max="7897" width="14.5" customWidth="1"/>
    <col min="7898" max="7899" width="15.875" bestFit="1" customWidth="1"/>
    <col min="7900" max="7900" width="14.25" bestFit="1" customWidth="1"/>
    <col min="7901" max="7901" width="15.875" bestFit="1" customWidth="1"/>
    <col min="8136" max="8137" width="13.5" customWidth="1"/>
    <col min="8138" max="8138" width="16" customWidth="1"/>
    <col min="8139" max="8139" width="15.125" customWidth="1"/>
    <col min="8140" max="8143" width="13" customWidth="1"/>
    <col min="8144" max="8144" width="16.375" customWidth="1"/>
    <col min="8145" max="8145" width="10.625" customWidth="1"/>
    <col min="8146" max="8147" width="17" customWidth="1"/>
    <col min="8148" max="8148" width="14" customWidth="1"/>
    <col min="8149" max="8149" width="14.625" bestFit="1" customWidth="1"/>
    <col min="8150" max="8150" width="12" customWidth="1"/>
    <col min="8151" max="8151" width="15.875" bestFit="1" customWidth="1"/>
    <col min="8152" max="8152" width="14.5" bestFit="1" customWidth="1"/>
    <col min="8153" max="8153" width="14.5" customWidth="1"/>
    <col min="8154" max="8155" width="15.875" bestFit="1" customWidth="1"/>
    <col min="8156" max="8156" width="14.25" bestFit="1" customWidth="1"/>
    <col min="8157" max="8157" width="15.875" bestFit="1" customWidth="1"/>
    <col min="8392" max="8393" width="13.5" customWidth="1"/>
    <col min="8394" max="8394" width="16" customWidth="1"/>
    <col min="8395" max="8395" width="15.125" customWidth="1"/>
    <col min="8396" max="8399" width="13" customWidth="1"/>
    <col min="8400" max="8400" width="16.375" customWidth="1"/>
    <col min="8401" max="8401" width="10.625" customWidth="1"/>
    <col min="8402" max="8403" width="17" customWidth="1"/>
    <col min="8404" max="8404" width="14" customWidth="1"/>
    <col min="8405" max="8405" width="14.625" bestFit="1" customWidth="1"/>
    <col min="8406" max="8406" width="12" customWidth="1"/>
    <col min="8407" max="8407" width="15.875" bestFit="1" customWidth="1"/>
    <col min="8408" max="8408" width="14.5" bestFit="1" customWidth="1"/>
    <col min="8409" max="8409" width="14.5" customWidth="1"/>
    <col min="8410" max="8411" width="15.875" bestFit="1" customWidth="1"/>
    <col min="8412" max="8412" width="14.25" bestFit="1" customWidth="1"/>
    <col min="8413" max="8413" width="15.875" bestFit="1" customWidth="1"/>
    <col min="8648" max="8649" width="13.5" customWidth="1"/>
    <col min="8650" max="8650" width="16" customWidth="1"/>
    <col min="8651" max="8651" width="15.125" customWidth="1"/>
    <col min="8652" max="8655" width="13" customWidth="1"/>
    <col min="8656" max="8656" width="16.375" customWidth="1"/>
    <col min="8657" max="8657" width="10.625" customWidth="1"/>
    <col min="8658" max="8659" width="17" customWidth="1"/>
    <col min="8660" max="8660" width="14" customWidth="1"/>
    <col min="8661" max="8661" width="14.625" bestFit="1" customWidth="1"/>
    <col min="8662" max="8662" width="12" customWidth="1"/>
    <col min="8663" max="8663" width="15.875" bestFit="1" customWidth="1"/>
    <col min="8664" max="8664" width="14.5" bestFit="1" customWidth="1"/>
    <col min="8665" max="8665" width="14.5" customWidth="1"/>
    <col min="8666" max="8667" width="15.875" bestFit="1" customWidth="1"/>
    <col min="8668" max="8668" width="14.25" bestFit="1" customWidth="1"/>
    <col min="8669" max="8669" width="15.875" bestFit="1" customWidth="1"/>
    <col min="8904" max="8905" width="13.5" customWidth="1"/>
    <col min="8906" max="8906" width="16" customWidth="1"/>
    <col min="8907" max="8907" width="15.125" customWidth="1"/>
    <col min="8908" max="8911" width="13" customWidth="1"/>
    <col min="8912" max="8912" width="16.375" customWidth="1"/>
    <col min="8913" max="8913" width="10.625" customWidth="1"/>
    <col min="8914" max="8915" width="17" customWidth="1"/>
    <col min="8916" max="8916" width="14" customWidth="1"/>
    <col min="8917" max="8917" width="14.625" bestFit="1" customWidth="1"/>
    <col min="8918" max="8918" width="12" customWidth="1"/>
    <col min="8919" max="8919" width="15.875" bestFit="1" customWidth="1"/>
    <col min="8920" max="8920" width="14.5" bestFit="1" customWidth="1"/>
    <col min="8921" max="8921" width="14.5" customWidth="1"/>
    <col min="8922" max="8923" width="15.875" bestFit="1" customWidth="1"/>
    <col min="8924" max="8924" width="14.25" bestFit="1" customWidth="1"/>
    <col min="8925" max="8925" width="15.875" bestFit="1" customWidth="1"/>
    <col min="9160" max="9161" width="13.5" customWidth="1"/>
    <col min="9162" max="9162" width="16" customWidth="1"/>
    <col min="9163" max="9163" width="15.125" customWidth="1"/>
    <col min="9164" max="9167" width="13" customWidth="1"/>
    <col min="9168" max="9168" width="16.375" customWidth="1"/>
    <col min="9169" max="9169" width="10.625" customWidth="1"/>
    <col min="9170" max="9171" width="17" customWidth="1"/>
    <col min="9172" max="9172" width="14" customWidth="1"/>
    <col min="9173" max="9173" width="14.625" bestFit="1" customWidth="1"/>
    <col min="9174" max="9174" width="12" customWidth="1"/>
    <col min="9175" max="9175" width="15.875" bestFit="1" customWidth="1"/>
    <col min="9176" max="9176" width="14.5" bestFit="1" customWidth="1"/>
    <col min="9177" max="9177" width="14.5" customWidth="1"/>
    <col min="9178" max="9179" width="15.875" bestFit="1" customWidth="1"/>
    <col min="9180" max="9180" width="14.25" bestFit="1" customWidth="1"/>
    <col min="9181" max="9181" width="15.875" bestFit="1" customWidth="1"/>
    <col min="9416" max="9417" width="13.5" customWidth="1"/>
    <col min="9418" max="9418" width="16" customWidth="1"/>
    <col min="9419" max="9419" width="15.125" customWidth="1"/>
    <col min="9420" max="9423" width="13" customWidth="1"/>
    <col min="9424" max="9424" width="16.375" customWidth="1"/>
    <col min="9425" max="9425" width="10.625" customWidth="1"/>
    <col min="9426" max="9427" width="17" customWidth="1"/>
    <col min="9428" max="9428" width="14" customWidth="1"/>
    <col min="9429" max="9429" width="14.625" bestFit="1" customWidth="1"/>
    <col min="9430" max="9430" width="12" customWidth="1"/>
    <col min="9431" max="9431" width="15.875" bestFit="1" customWidth="1"/>
    <col min="9432" max="9432" width="14.5" bestFit="1" customWidth="1"/>
    <col min="9433" max="9433" width="14.5" customWidth="1"/>
    <col min="9434" max="9435" width="15.875" bestFit="1" customWidth="1"/>
    <col min="9436" max="9436" width="14.25" bestFit="1" customWidth="1"/>
    <col min="9437" max="9437" width="15.875" bestFit="1" customWidth="1"/>
    <col min="9672" max="9673" width="13.5" customWidth="1"/>
    <col min="9674" max="9674" width="16" customWidth="1"/>
    <col min="9675" max="9675" width="15.125" customWidth="1"/>
    <col min="9676" max="9679" width="13" customWidth="1"/>
    <col min="9680" max="9680" width="16.375" customWidth="1"/>
    <col min="9681" max="9681" width="10.625" customWidth="1"/>
    <col min="9682" max="9683" width="17" customWidth="1"/>
    <col min="9684" max="9684" width="14" customWidth="1"/>
    <col min="9685" max="9685" width="14.625" bestFit="1" customWidth="1"/>
    <col min="9686" max="9686" width="12" customWidth="1"/>
    <col min="9687" max="9687" width="15.875" bestFit="1" customWidth="1"/>
    <col min="9688" max="9688" width="14.5" bestFit="1" customWidth="1"/>
    <col min="9689" max="9689" width="14.5" customWidth="1"/>
    <col min="9690" max="9691" width="15.875" bestFit="1" customWidth="1"/>
    <col min="9692" max="9692" width="14.25" bestFit="1" customWidth="1"/>
    <col min="9693" max="9693" width="15.875" bestFit="1" customWidth="1"/>
    <col min="9928" max="9929" width="13.5" customWidth="1"/>
    <col min="9930" max="9930" width="16" customWidth="1"/>
    <col min="9931" max="9931" width="15.125" customWidth="1"/>
    <col min="9932" max="9935" width="13" customWidth="1"/>
    <col min="9936" max="9936" width="16.375" customWidth="1"/>
    <col min="9937" max="9937" width="10.625" customWidth="1"/>
    <col min="9938" max="9939" width="17" customWidth="1"/>
    <col min="9940" max="9940" width="14" customWidth="1"/>
    <col min="9941" max="9941" width="14.625" bestFit="1" customWidth="1"/>
    <col min="9942" max="9942" width="12" customWidth="1"/>
    <col min="9943" max="9943" width="15.875" bestFit="1" customWidth="1"/>
    <col min="9944" max="9944" width="14.5" bestFit="1" customWidth="1"/>
    <col min="9945" max="9945" width="14.5" customWidth="1"/>
    <col min="9946" max="9947" width="15.875" bestFit="1" customWidth="1"/>
    <col min="9948" max="9948" width="14.25" bestFit="1" customWidth="1"/>
    <col min="9949" max="9949" width="15.875" bestFit="1" customWidth="1"/>
    <col min="10184" max="10185" width="13.5" customWidth="1"/>
    <col min="10186" max="10186" width="16" customWidth="1"/>
    <col min="10187" max="10187" width="15.125" customWidth="1"/>
    <col min="10188" max="10191" width="13" customWidth="1"/>
    <col min="10192" max="10192" width="16.375" customWidth="1"/>
    <col min="10193" max="10193" width="10.625" customWidth="1"/>
    <col min="10194" max="10195" width="17" customWidth="1"/>
    <col min="10196" max="10196" width="14" customWidth="1"/>
    <col min="10197" max="10197" width="14.625" bestFit="1" customWidth="1"/>
    <col min="10198" max="10198" width="12" customWidth="1"/>
    <col min="10199" max="10199" width="15.875" bestFit="1" customWidth="1"/>
    <col min="10200" max="10200" width="14.5" bestFit="1" customWidth="1"/>
    <col min="10201" max="10201" width="14.5" customWidth="1"/>
    <col min="10202" max="10203" width="15.875" bestFit="1" customWidth="1"/>
    <col min="10204" max="10204" width="14.25" bestFit="1" customWidth="1"/>
    <col min="10205" max="10205" width="15.875" bestFit="1" customWidth="1"/>
    <col min="10440" max="10441" width="13.5" customWidth="1"/>
    <col min="10442" max="10442" width="16" customWidth="1"/>
    <col min="10443" max="10443" width="15.125" customWidth="1"/>
    <col min="10444" max="10447" width="13" customWidth="1"/>
    <col min="10448" max="10448" width="16.375" customWidth="1"/>
    <col min="10449" max="10449" width="10.625" customWidth="1"/>
    <col min="10450" max="10451" width="17" customWidth="1"/>
    <col min="10452" max="10452" width="14" customWidth="1"/>
    <col min="10453" max="10453" width="14.625" bestFit="1" customWidth="1"/>
    <col min="10454" max="10454" width="12" customWidth="1"/>
    <col min="10455" max="10455" width="15.875" bestFit="1" customWidth="1"/>
    <col min="10456" max="10456" width="14.5" bestFit="1" customWidth="1"/>
    <col min="10457" max="10457" width="14.5" customWidth="1"/>
    <col min="10458" max="10459" width="15.875" bestFit="1" customWidth="1"/>
    <col min="10460" max="10460" width="14.25" bestFit="1" customWidth="1"/>
    <col min="10461" max="10461" width="15.875" bestFit="1" customWidth="1"/>
    <col min="10696" max="10697" width="13.5" customWidth="1"/>
    <col min="10698" max="10698" width="16" customWidth="1"/>
    <col min="10699" max="10699" width="15.125" customWidth="1"/>
    <col min="10700" max="10703" width="13" customWidth="1"/>
    <col min="10704" max="10704" width="16.375" customWidth="1"/>
    <col min="10705" max="10705" width="10.625" customWidth="1"/>
    <col min="10706" max="10707" width="17" customWidth="1"/>
    <col min="10708" max="10708" width="14" customWidth="1"/>
    <col min="10709" max="10709" width="14.625" bestFit="1" customWidth="1"/>
    <col min="10710" max="10710" width="12" customWidth="1"/>
    <col min="10711" max="10711" width="15.875" bestFit="1" customWidth="1"/>
    <col min="10712" max="10712" width="14.5" bestFit="1" customWidth="1"/>
    <col min="10713" max="10713" width="14.5" customWidth="1"/>
    <col min="10714" max="10715" width="15.875" bestFit="1" customWidth="1"/>
    <col min="10716" max="10716" width="14.25" bestFit="1" customWidth="1"/>
    <col min="10717" max="10717" width="15.875" bestFit="1" customWidth="1"/>
    <col min="10952" max="10953" width="13.5" customWidth="1"/>
    <col min="10954" max="10954" width="16" customWidth="1"/>
    <col min="10955" max="10955" width="15.125" customWidth="1"/>
    <col min="10956" max="10959" width="13" customWidth="1"/>
    <col min="10960" max="10960" width="16.375" customWidth="1"/>
    <col min="10961" max="10961" width="10.625" customWidth="1"/>
    <col min="10962" max="10963" width="17" customWidth="1"/>
    <col min="10964" max="10964" width="14" customWidth="1"/>
    <col min="10965" max="10965" width="14.625" bestFit="1" customWidth="1"/>
    <col min="10966" max="10966" width="12" customWidth="1"/>
    <col min="10967" max="10967" width="15.875" bestFit="1" customWidth="1"/>
    <col min="10968" max="10968" width="14.5" bestFit="1" customWidth="1"/>
    <col min="10969" max="10969" width="14.5" customWidth="1"/>
    <col min="10970" max="10971" width="15.875" bestFit="1" customWidth="1"/>
    <col min="10972" max="10972" width="14.25" bestFit="1" customWidth="1"/>
    <col min="10973" max="10973" width="15.875" bestFit="1" customWidth="1"/>
    <col min="11208" max="11209" width="13.5" customWidth="1"/>
    <col min="11210" max="11210" width="16" customWidth="1"/>
    <col min="11211" max="11211" width="15.125" customWidth="1"/>
    <col min="11212" max="11215" width="13" customWidth="1"/>
    <col min="11216" max="11216" width="16.375" customWidth="1"/>
    <col min="11217" max="11217" width="10.625" customWidth="1"/>
    <col min="11218" max="11219" width="17" customWidth="1"/>
    <col min="11220" max="11220" width="14" customWidth="1"/>
    <col min="11221" max="11221" width="14.625" bestFit="1" customWidth="1"/>
    <col min="11222" max="11222" width="12" customWidth="1"/>
    <col min="11223" max="11223" width="15.875" bestFit="1" customWidth="1"/>
    <col min="11224" max="11224" width="14.5" bestFit="1" customWidth="1"/>
    <col min="11225" max="11225" width="14.5" customWidth="1"/>
    <col min="11226" max="11227" width="15.875" bestFit="1" customWidth="1"/>
    <col min="11228" max="11228" width="14.25" bestFit="1" customWidth="1"/>
    <col min="11229" max="11229" width="15.875" bestFit="1" customWidth="1"/>
    <col min="11464" max="11465" width="13.5" customWidth="1"/>
    <col min="11466" max="11466" width="16" customWidth="1"/>
    <col min="11467" max="11467" width="15.125" customWidth="1"/>
    <col min="11468" max="11471" width="13" customWidth="1"/>
    <col min="11472" max="11472" width="16.375" customWidth="1"/>
    <col min="11473" max="11473" width="10.625" customWidth="1"/>
    <col min="11474" max="11475" width="17" customWidth="1"/>
    <col min="11476" max="11476" width="14" customWidth="1"/>
    <col min="11477" max="11477" width="14.625" bestFit="1" customWidth="1"/>
    <col min="11478" max="11478" width="12" customWidth="1"/>
    <col min="11479" max="11479" width="15.875" bestFit="1" customWidth="1"/>
    <col min="11480" max="11480" width="14.5" bestFit="1" customWidth="1"/>
    <col min="11481" max="11481" width="14.5" customWidth="1"/>
    <col min="11482" max="11483" width="15.875" bestFit="1" customWidth="1"/>
    <col min="11484" max="11484" width="14.25" bestFit="1" customWidth="1"/>
    <col min="11485" max="11485" width="15.875" bestFit="1" customWidth="1"/>
    <col min="11720" max="11721" width="13.5" customWidth="1"/>
    <col min="11722" max="11722" width="16" customWidth="1"/>
    <col min="11723" max="11723" width="15.125" customWidth="1"/>
    <col min="11724" max="11727" width="13" customWidth="1"/>
    <col min="11728" max="11728" width="16.375" customWidth="1"/>
    <col min="11729" max="11729" width="10.625" customWidth="1"/>
    <col min="11730" max="11731" width="17" customWidth="1"/>
    <col min="11732" max="11732" width="14" customWidth="1"/>
    <col min="11733" max="11733" width="14.625" bestFit="1" customWidth="1"/>
    <col min="11734" max="11734" width="12" customWidth="1"/>
    <col min="11735" max="11735" width="15.875" bestFit="1" customWidth="1"/>
    <col min="11736" max="11736" width="14.5" bestFit="1" customWidth="1"/>
    <col min="11737" max="11737" width="14.5" customWidth="1"/>
    <col min="11738" max="11739" width="15.875" bestFit="1" customWidth="1"/>
    <col min="11740" max="11740" width="14.25" bestFit="1" customWidth="1"/>
    <col min="11741" max="11741" width="15.875" bestFit="1" customWidth="1"/>
    <col min="11976" max="11977" width="13.5" customWidth="1"/>
    <col min="11978" max="11978" width="16" customWidth="1"/>
    <col min="11979" max="11979" width="15.125" customWidth="1"/>
    <col min="11980" max="11983" width="13" customWidth="1"/>
    <col min="11984" max="11984" width="16.375" customWidth="1"/>
    <col min="11985" max="11985" width="10.625" customWidth="1"/>
    <col min="11986" max="11987" width="17" customWidth="1"/>
    <col min="11988" max="11988" width="14" customWidth="1"/>
    <col min="11989" max="11989" width="14.625" bestFit="1" customWidth="1"/>
    <col min="11990" max="11990" width="12" customWidth="1"/>
    <col min="11991" max="11991" width="15.875" bestFit="1" customWidth="1"/>
    <col min="11992" max="11992" width="14.5" bestFit="1" customWidth="1"/>
    <col min="11993" max="11993" width="14.5" customWidth="1"/>
    <col min="11994" max="11995" width="15.875" bestFit="1" customWidth="1"/>
    <col min="11996" max="11996" width="14.25" bestFit="1" customWidth="1"/>
    <col min="11997" max="11997" width="15.875" bestFit="1" customWidth="1"/>
    <col min="12232" max="12233" width="13.5" customWidth="1"/>
    <col min="12234" max="12234" width="16" customWidth="1"/>
    <col min="12235" max="12235" width="15.125" customWidth="1"/>
    <col min="12236" max="12239" width="13" customWidth="1"/>
    <col min="12240" max="12240" width="16.375" customWidth="1"/>
    <col min="12241" max="12241" width="10.625" customWidth="1"/>
    <col min="12242" max="12243" width="17" customWidth="1"/>
    <col min="12244" max="12244" width="14" customWidth="1"/>
    <col min="12245" max="12245" width="14.625" bestFit="1" customWidth="1"/>
    <col min="12246" max="12246" width="12" customWidth="1"/>
    <col min="12247" max="12247" width="15.875" bestFit="1" customWidth="1"/>
    <col min="12248" max="12248" width="14.5" bestFit="1" customWidth="1"/>
    <col min="12249" max="12249" width="14.5" customWidth="1"/>
    <col min="12250" max="12251" width="15.875" bestFit="1" customWidth="1"/>
    <col min="12252" max="12252" width="14.25" bestFit="1" customWidth="1"/>
    <col min="12253" max="12253" width="15.875" bestFit="1" customWidth="1"/>
    <col min="12488" max="12489" width="13.5" customWidth="1"/>
    <col min="12490" max="12490" width="16" customWidth="1"/>
    <col min="12491" max="12491" width="15.125" customWidth="1"/>
    <col min="12492" max="12495" width="13" customWidth="1"/>
    <col min="12496" max="12496" width="16.375" customWidth="1"/>
    <col min="12497" max="12497" width="10.625" customWidth="1"/>
    <col min="12498" max="12499" width="17" customWidth="1"/>
    <col min="12500" max="12500" width="14" customWidth="1"/>
    <col min="12501" max="12501" width="14.625" bestFit="1" customWidth="1"/>
    <col min="12502" max="12502" width="12" customWidth="1"/>
    <col min="12503" max="12503" width="15.875" bestFit="1" customWidth="1"/>
    <col min="12504" max="12504" width="14.5" bestFit="1" customWidth="1"/>
    <col min="12505" max="12505" width="14.5" customWidth="1"/>
    <col min="12506" max="12507" width="15.875" bestFit="1" customWidth="1"/>
    <col min="12508" max="12508" width="14.25" bestFit="1" customWidth="1"/>
    <col min="12509" max="12509" width="15.875" bestFit="1" customWidth="1"/>
    <col min="12744" max="12745" width="13.5" customWidth="1"/>
    <col min="12746" max="12746" width="16" customWidth="1"/>
    <col min="12747" max="12747" width="15.125" customWidth="1"/>
    <col min="12748" max="12751" width="13" customWidth="1"/>
    <col min="12752" max="12752" width="16.375" customWidth="1"/>
    <col min="12753" max="12753" width="10.625" customWidth="1"/>
    <col min="12754" max="12755" width="17" customWidth="1"/>
    <col min="12756" max="12756" width="14" customWidth="1"/>
    <col min="12757" max="12757" width="14.625" bestFit="1" customWidth="1"/>
    <col min="12758" max="12758" width="12" customWidth="1"/>
    <col min="12759" max="12759" width="15.875" bestFit="1" customWidth="1"/>
    <col min="12760" max="12760" width="14.5" bestFit="1" customWidth="1"/>
    <col min="12761" max="12761" width="14.5" customWidth="1"/>
    <col min="12762" max="12763" width="15.875" bestFit="1" customWidth="1"/>
    <col min="12764" max="12764" width="14.25" bestFit="1" customWidth="1"/>
    <col min="12765" max="12765" width="15.875" bestFit="1" customWidth="1"/>
    <col min="13000" max="13001" width="13.5" customWidth="1"/>
    <col min="13002" max="13002" width="16" customWidth="1"/>
    <col min="13003" max="13003" width="15.125" customWidth="1"/>
    <col min="13004" max="13007" width="13" customWidth="1"/>
    <col min="13008" max="13008" width="16.375" customWidth="1"/>
    <col min="13009" max="13009" width="10.625" customWidth="1"/>
    <col min="13010" max="13011" width="17" customWidth="1"/>
    <col min="13012" max="13012" width="14" customWidth="1"/>
    <col min="13013" max="13013" width="14.625" bestFit="1" customWidth="1"/>
    <col min="13014" max="13014" width="12" customWidth="1"/>
    <col min="13015" max="13015" width="15.875" bestFit="1" customWidth="1"/>
    <col min="13016" max="13016" width="14.5" bestFit="1" customWidth="1"/>
    <col min="13017" max="13017" width="14.5" customWidth="1"/>
    <col min="13018" max="13019" width="15.875" bestFit="1" customWidth="1"/>
    <col min="13020" max="13020" width="14.25" bestFit="1" customWidth="1"/>
    <col min="13021" max="13021" width="15.875" bestFit="1" customWidth="1"/>
    <col min="13256" max="13257" width="13.5" customWidth="1"/>
    <col min="13258" max="13258" width="16" customWidth="1"/>
    <col min="13259" max="13259" width="15.125" customWidth="1"/>
    <col min="13260" max="13263" width="13" customWidth="1"/>
    <col min="13264" max="13264" width="16.375" customWidth="1"/>
    <col min="13265" max="13265" width="10.625" customWidth="1"/>
    <col min="13266" max="13267" width="17" customWidth="1"/>
    <col min="13268" max="13268" width="14" customWidth="1"/>
    <col min="13269" max="13269" width="14.625" bestFit="1" customWidth="1"/>
    <col min="13270" max="13270" width="12" customWidth="1"/>
    <col min="13271" max="13271" width="15.875" bestFit="1" customWidth="1"/>
    <col min="13272" max="13272" width="14.5" bestFit="1" customWidth="1"/>
    <col min="13273" max="13273" width="14.5" customWidth="1"/>
    <col min="13274" max="13275" width="15.875" bestFit="1" customWidth="1"/>
    <col min="13276" max="13276" width="14.25" bestFit="1" customWidth="1"/>
    <col min="13277" max="13277" width="15.875" bestFit="1" customWidth="1"/>
    <col min="13512" max="13513" width="13.5" customWidth="1"/>
    <col min="13514" max="13514" width="16" customWidth="1"/>
    <col min="13515" max="13515" width="15.125" customWidth="1"/>
    <col min="13516" max="13519" width="13" customWidth="1"/>
    <col min="13520" max="13520" width="16.375" customWidth="1"/>
    <col min="13521" max="13521" width="10.625" customWidth="1"/>
    <col min="13522" max="13523" width="17" customWidth="1"/>
    <col min="13524" max="13524" width="14" customWidth="1"/>
    <col min="13525" max="13525" width="14.625" bestFit="1" customWidth="1"/>
    <col min="13526" max="13526" width="12" customWidth="1"/>
    <col min="13527" max="13527" width="15.875" bestFit="1" customWidth="1"/>
    <col min="13528" max="13528" width="14.5" bestFit="1" customWidth="1"/>
    <col min="13529" max="13529" width="14.5" customWidth="1"/>
    <col min="13530" max="13531" width="15.875" bestFit="1" customWidth="1"/>
    <col min="13532" max="13532" width="14.25" bestFit="1" customWidth="1"/>
    <col min="13533" max="13533" width="15.875" bestFit="1" customWidth="1"/>
    <col min="13768" max="13769" width="13.5" customWidth="1"/>
    <col min="13770" max="13770" width="16" customWidth="1"/>
    <col min="13771" max="13771" width="15.125" customWidth="1"/>
    <col min="13772" max="13775" width="13" customWidth="1"/>
    <col min="13776" max="13776" width="16.375" customWidth="1"/>
    <col min="13777" max="13777" width="10.625" customWidth="1"/>
    <col min="13778" max="13779" width="17" customWidth="1"/>
    <col min="13780" max="13780" width="14" customWidth="1"/>
    <col min="13781" max="13781" width="14.625" bestFit="1" customWidth="1"/>
    <col min="13782" max="13782" width="12" customWidth="1"/>
    <col min="13783" max="13783" width="15.875" bestFit="1" customWidth="1"/>
    <col min="13784" max="13784" width="14.5" bestFit="1" customWidth="1"/>
    <col min="13785" max="13785" width="14.5" customWidth="1"/>
    <col min="13786" max="13787" width="15.875" bestFit="1" customWidth="1"/>
    <col min="13788" max="13788" width="14.25" bestFit="1" customWidth="1"/>
    <col min="13789" max="13789" width="15.875" bestFit="1" customWidth="1"/>
    <col min="14024" max="14025" width="13.5" customWidth="1"/>
    <col min="14026" max="14026" width="16" customWidth="1"/>
    <col min="14027" max="14027" width="15.125" customWidth="1"/>
    <col min="14028" max="14031" width="13" customWidth="1"/>
    <col min="14032" max="14032" width="16.375" customWidth="1"/>
    <col min="14033" max="14033" width="10.625" customWidth="1"/>
    <col min="14034" max="14035" width="17" customWidth="1"/>
    <col min="14036" max="14036" width="14" customWidth="1"/>
    <col min="14037" max="14037" width="14.625" bestFit="1" customWidth="1"/>
    <col min="14038" max="14038" width="12" customWidth="1"/>
    <col min="14039" max="14039" width="15.875" bestFit="1" customWidth="1"/>
    <col min="14040" max="14040" width="14.5" bestFit="1" customWidth="1"/>
    <col min="14041" max="14041" width="14.5" customWidth="1"/>
    <col min="14042" max="14043" width="15.875" bestFit="1" customWidth="1"/>
    <col min="14044" max="14044" width="14.25" bestFit="1" customWidth="1"/>
    <col min="14045" max="14045" width="15.875" bestFit="1" customWidth="1"/>
    <col min="14280" max="14281" width="13.5" customWidth="1"/>
    <col min="14282" max="14282" width="16" customWidth="1"/>
    <col min="14283" max="14283" width="15.125" customWidth="1"/>
    <col min="14284" max="14287" width="13" customWidth="1"/>
    <col min="14288" max="14288" width="16.375" customWidth="1"/>
    <col min="14289" max="14289" width="10.625" customWidth="1"/>
    <col min="14290" max="14291" width="17" customWidth="1"/>
    <col min="14292" max="14292" width="14" customWidth="1"/>
    <col min="14293" max="14293" width="14.625" bestFit="1" customWidth="1"/>
    <col min="14294" max="14294" width="12" customWidth="1"/>
    <col min="14295" max="14295" width="15.875" bestFit="1" customWidth="1"/>
    <col min="14296" max="14296" width="14.5" bestFit="1" customWidth="1"/>
    <col min="14297" max="14297" width="14.5" customWidth="1"/>
    <col min="14298" max="14299" width="15.875" bestFit="1" customWidth="1"/>
    <col min="14300" max="14300" width="14.25" bestFit="1" customWidth="1"/>
    <col min="14301" max="14301" width="15.875" bestFit="1" customWidth="1"/>
    <col min="14536" max="14537" width="13.5" customWidth="1"/>
    <col min="14538" max="14538" width="16" customWidth="1"/>
    <col min="14539" max="14539" width="15.125" customWidth="1"/>
    <col min="14540" max="14543" width="13" customWidth="1"/>
    <col min="14544" max="14544" width="16.375" customWidth="1"/>
    <col min="14545" max="14545" width="10.625" customWidth="1"/>
    <col min="14546" max="14547" width="17" customWidth="1"/>
    <col min="14548" max="14548" width="14" customWidth="1"/>
    <col min="14549" max="14549" width="14.625" bestFit="1" customWidth="1"/>
    <col min="14550" max="14550" width="12" customWidth="1"/>
    <col min="14551" max="14551" width="15.875" bestFit="1" customWidth="1"/>
    <col min="14552" max="14552" width="14.5" bestFit="1" customWidth="1"/>
    <col min="14553" max="14553" width="14.5" customWidth="1"/>
    <col min="14554" max="14555" width="15.875" bestFit="1" customWidth="1"/>
    <col min="14556" max="14556" width="14.25" bestFit="1" customWidth="1"/>
    <col min="14557" max="14557" width="15.875" bestFit="1" customWidth="1"/>
    <col min="14792" max="14793" width="13.5" customWidth="1"/>
    <col min="14794" max="14794" width="16" customWidth="1"/>
    <col min="14795" max="14795" width="15.125" customWidth="1"/>
    <col min="14796" max="14799" width="13" customWidth="1"/>
    <col min="14800" max="14800" width="16.375" customWidth="1"/>
    <col min="14801" max="14801" width="10.625" customWidth="1"/>
    <col min="14802" max="14803" width="17" customWidth="1"/>
    <col min="14804" max="14804" width="14" customWidth="1"/>
    <col min="14805" max="14805" width="14.625" bestFit="1" customWidth="1"/>
    <col min="14806" max="14806" width="12" customWidth="1"/>
    <col min="14807" max="14807" width="15.875" bestFit="1" customWidth="1"/>
    <col min="14808" max="14808" width="14.5" bestFit="1" customWidth="1"/>
    <col min="14809" max="14809" width="14.5" customWidth="1"/>
    <col min="14810" max="14811" width="15.875" bestFit="1" customWidth="1"/>
    <col min="14812" max="14812" width="14.25" bestFit="1" customWidth="1"/>
    <col min="14813" max="14813" width="15.875" bestFit="1" customWidth="1"/>
    <col min="15048" max="15049" width="13.5" customWidth="1"/>
    <col min="15050" max="15050" width="16" customWidth="1"/>
    <col min="15051" max="15051" width="15.125" customWidth="1"/>
    <col min="15052" max="15055" width="13" customWidth="1"/>
    <col min="15056" max="15056" width="16.375" customWidth="1"/>
    <col min="15057" max="15057" width="10.625" customWidth="1"/>
    <col min="15058" max="15059" width="17" customWidth="1"/>
    <col min="15060" max="15060" width="14" customWidth="1"/>
    <col min="15061" max="15061" width="14.625" bestFit="1" customWidth="1"/>
    <col min="15062" max="15062" width="12" customWidth="1"/>
    <col min="15063" max="15063" width="15.875" bestFit="1" customWidth="1"/>
    <col min="15064" max="15064" width="14.5" bestFit="1" customWidth="1"/>
    <col min="15065" max="15065" width="14.5" customWidth="1"/>
    <col min="15066" max="15067" width="15.875" bestFit="1" customWidth="1"/>
    <col min="15068" max="15068" width="14.25" bestFit="1" customWidth="1"/>
    <col min="15069" max="15069" width="15.875" bestFit="1" customWidth="1"/>
    <col min="15304" max="15305" width="13.5" customWidth="1"/>
    <col min="15306" max="15306" width="16" customWidth="1"/>
    <col min="15307" max="15307" width="15.125" customWidth="1"/>
    <col min="15308" max="15311" width="13" customWidth="1"/>
    <col min="15312" max="15312" width="16.375" customWidth="1"/>
    <col min="15313" max="15313" width="10.625" customWidth="1"/>
    <col min="15314" max="15315" width="17" customWidth="1"/>
    <col min="15316" max="15316" width="14" customWidth="1"/>
    <col min="15317" max="15317" width="14.625" bestFit="1" customWidth="1"/>
    <col min="15318" max="15318" width="12" customWidth="1"/>
    <col min="15319" max="15319" width="15.875" bestFit="1" customWidth="1"/>
    <col min="15320" max="15320" width="14.5" bestFit="1" customWidth="1"/>
    <col min="15321" max="15321" width="14.5" customWidth="1"/>
    <col min="15322" max="15323" width="15.875" bestFit="1" customWidth="1"/>
    <col min="15324" max="15324" width="14.25" bestFit="1" customWidth="1"/>
    <col min="15325" max="15325" width="15.875" bestFit="1" customWidth="1"/>
    <col min="15560" max="15561" width="13.5" customWidth="1"/>
    <col min="15562" max="15562" width="16" customWidth="1"/>
    <col min="15563" max="15563" width="15.125" customWidth="1"/>
    <col min="15564" max="15567" width="13" customWidth="1"/>
    <col min="15568" max="15568" width="16.375" customWidth="1"/>
    <col min="15569" max="15569" width="10.625" customWidth="1"/>
    <col min="15570" max="15571" width="17" customWidth="1"/>
    <col min="15572" max="15572" width="14" customWidth="1"/>
    <col min="15573" max="15573" width="14.625" bestFit="1" customWidth="1"/>
    <col min="15574" max="15574" width="12" customWidth="1"/>
    <col min="15575" max="15575" width="15.875" bestFit="1" customWidth="1"/>
    <col min="15576" max="15576" width="14.5" bestFit="1" customWidth="1"/>
    <col min="15577" max="15577" width="14.5" customWidth="1"/>
    <col min="15578" max="15579" width="15.875" bestFit="1" customWidth="1"/>
    <col min="15580" max="15580" width="14.25" bestFit="1" customWidth="1"/>
    <col min="15581" max="15581" width="15.875" bestFit="1" customWidth="1"/>
    <col min="15816" max="15817" width="13.5" customWidth="1"/>
    <col min="15818" max="15818" width="16" customWidth="1"/>
    <col min="15819" max="15819" width="15.125" customWidth="1"/>
    <col min="15820" max="15823" width="13" customWidth="1"/>
    <col min="15824" max="15824" width="16.375" customWidth="1"/>
    <col min="15825" max="15825" width="10.625" customWidth="1"/>
    <col min="15826" max="15827" width="17" customWidth="1"/>
    <col min="15828" max="15828" width="14" customWidth="1"/>
    <col min="15829" max="15829" width="14.625" bestFit="1" customWidth="1"/>
    <col min="15830" max="15830" width="12" customWidth="1"/>
    <col min="15831" max="15831" width="15.875" bestFit="1" customWidth="1"/>
    <col min="15832" max="15832" width="14.5" bestFit="1" customWidth="1"/>
    <col min="15833" max="15833" width="14.5" customWidth="1"/>
    <col min="15834" max="15835" width="15.875" bestFit="1" customWidth="1"/>
    <col min="15836" max="15836" width="14.25" bestFit="1" customWidth="1"/>
    <col min="15837" max="15837" width="15.875" bestFit="1" customWidth="1"/>
    <col min="16072" max="16073" width="13.5" customWidth="1"/>
    <col min="16074" max="16074" width="16" customWidth="1"/>
    <col min="16075" max="16075" width="15.125" customWidth="1"/>
    <col min="16076" max="16079" width="13" customWidth="1"/>
    <col min="16080" max="16080" width="16.375" customWidth="1"/>
    <col min="16081" max="16081" width="10.625" customWidth="1"/>
    <col min="16082" max="16083" width="17" customWidth="1"/>
    <col min="16084" max="16084" width="14" customWidth="1"/>
    <col min="16085" max="16085" width="14.625" bestFit="1" customWidth="1"/>
    <col min="16086" max="16086" width="12" customWidth="1"/>
    <col min="16087" max="16087" width="15.875" bestFit="1" customWidth="1"/>
    <col min="16088" max="16088" width="14.5" bestFit="1" customWidth="1"/>
    <col min="16089" max="16089" width="14.5" customWidth="1"/>
    <col min="16090" max="16091" width="15.875" bestFit="1" customWidth="1"/>
    <col min="16092" max="16092" width="14.25" bestFit="1" customWidth="1"/>
    <col min="16093" max="16093" width="15.875" bestFit="1" customWidth="1"/>
  </cols>
  <sheetData>
    <row r="1" spans="1:12" hidden="1" x14ac:dyDescent="0.25"/>
    <row r="2" spans="1:12" ht="20.25" hidden="1" customHeight="1" x14ac:dyDescent="0.25">
      <c r="A2" s="2" t="s">
        <v>0</v>
      </c>
      <c r="B2" s="3"/>
      <c r="C2" s="3"/>
      <c r="D2" s="3"/>
      <c r="E2" s="3"/>
      <c r="F2" s="3"/>
      <c r="G2" s="3"/>
      <c r="H2" s="3"/>
      <c r="I2" s="3"/>
      <c r="J2" s="3"/>
      <c r="K2" s="3"/>
      <c r="L2" s="3"/>
    </row>
    <row r="3" spans="1:12" ht="20.25" hidden="1" customHeight="1" x14ac:dyDescent="0.25">
      <c r="A3" s="4" t="s">
        <v>1</v>
      </c>
      <c r="B3" s="4"/>
      <c r="C3" s="4"/>
      <c r="D3" s="4"/>
      <c r="E3" s="4"/>
      <c r="F3" s="4"/>
      <c r="G3" s="4"/>
      <c r="H3" s="4"/>
      <c r="I3" s="4"/>
      <c r="J3" s="4"/>
      <c r="K3" s="4"/>
      <c r="L3" s="4"/>
    </row>
    <row r="4" spans="1:12" ht="20.25" customHeight="1" x14ac:dyDescent="0.25">
      <c r="A4" s="5" t="s">
        <v>2</v>
      </c>
      <c r="B4" s="5"/>
      <c r="C4" s="5"/>
      <c r="D4" s="5"/>
      <c r="E4" s="5"/>
      <c r="F4" s="5"/>
      <c r="G4" s="5"/>
      <c r="H4" s="5"/>
      <c r="I4" s="5"/>
      <c r="J4" s="5"/>
      <c r="K4" s="5"/>
      <c r="L4" s="5"/>
    </row>
    <row r="5" spans="1:12" ht="20.25" customHeight="1" x14ac:dyDescent="0.25">
      <c r="A5" s="6" t="s">
        <v>3</v>
      </c>
      <c r="B5" s="6"/>
      <c r="C5" s="6"/>
      <c r="D5" s="6"/>
      <c r="E5" s="6"/>
      <c r="F5" s="6"/>
      <c r="G5" s="6"/>
      <c r="H5" s="6"/>
      <c r="I5" s="6"/>
      <c r="J5" s="6"/>
      <c r="K5" s="6"/>
      <c r="L5" s="6"/>
    </row>
    <row r="6" spans="1:12" ht="20.25" customHeight="1" x14ac:dyDescent="0.25">
      <c r="A6" s="7" t="s">
        <v>4</v>
      </c>
      <c r="B6" s="7"/>
      <c r="C6" s="7"/>
      <c r="D6" s="7"/>
      <c r="E6" s="7"/>
      <c r="F6" s="7"/>
      <c r="G6" s="7"/>
      <c r="H6" s="7"/>
      <c r="I6" s="7"/>
      <c r="J6" s="7"/>
      <c r="K6" s="7"/>
      <c r="L6" s="7"/>
    </row>
    <row r="7" spans="1:12" ht="20.25" customHeight="1" x14ac:dyDescent="0.25">
      <c r="A7" s="7" t="s">
        <v>5</v>
      </c>
      <c r="B7" s="7"/>
      <c r="C7" s="7"/>
      <c r="D7" s="7"/>
      <c r="E7" s="7"/>
      <c r="F7" s="7"/>
      <c r="G7" s="7"/>
      <c r="H7" s="7"/>
      <c r="I7" s="7"/>
      <c r="J7" s="7"/>
      <c r="K7" s="7"/>
      <c r="L7" s="7"/>
    </row>
    <row r="8" spans="1:12" ht="20.25" customHeight="1" x14ac:dyDescent="0.25">
      <c r="A8" s="7" t="s">
        <v>6</v>
      </c>
      <c r="B8" s="7"/>
      <c r="C8" s="7"/>
      <c r="D8" s="7"/>
      <c r="E8" s="7"/>
      <c r="F8" s="7"/>
      <c r="G8" s="7"/>
      <c r="H8" s="7"/>
      <c r="I8" s="7"/>
      <c r="J8" s="7"/>
      <c r="K8" s="7"/>
      <c r="L8" s="7"/>
    </row>
    <row r="9" spans="1:12" ht="20.25" customHeight="1" x14ac:dyDescent="0.25">
      <c r="A9" s="8" t="s">
        <v>7</v>
      </c>
      <c r="B9" s="9"/>
      <c r="C9" s="9"/>
      <c r="D9" s="9"/>
      <c r="E9" s="9"/>
      <c r="F9" s="9"/>
      <c r="G9" s="9"/>
      <c r="H9" s="9"/>
      <c r="I9" s="9"/>
      <c r="J9" s="9"/>
      <c r="K9" s="9"/>
      <c r="L9" s="9"/>
    </row>
    <row r="10" spans="1:12" ht="20.25" customHeight="1" x14ac:dyDescent="0.25">
      <c r="A10" s="7" t="s">
        <v>8</v>
      </c>
      <c r="B10" s="7"/>
      <c r="C10" s="7"/>
      <c r="D10" s="7"/>
      <c r="E10" s="7"/>
      <c r="F10" s="7"/>
      <c r="G10" s="7"/>
      <c r="H10" s="7"/>
      <c r="I10" s="7"/>
      <c r="J10" s="7"/>
      <c r="K10" s="7"/>
      <c r="L10" s="7"/>
    </row>
    <row r="11" spans="1:12" ht="20.25" customHeight="1" x14ac:dyDescent="0.25">
      <c r="A11" s="8" t="s">
        <v>9</v>
      </c>
      <c r="B11" s="9"/>
      <c r="C11" s="9"/>
      <c r="D11" s="9"/>
      <c r="E11" s="10">
        <v>111802673</v>
      </c>
      <c r="F11" s="10"/>
      <c r="G11" s="11" t="s">
        <v>10</v>
      </c>
      <c r="H11" s="9"/>
      <c r="I11" s="9"/>
      <c r="J11" s="9"/>
      <c r="K11" s="9"/>
      <c r="L11" s="9"/>
    </row>
    <row r="12" spans="1:12" ht="20.25" customHeight="1" x14ac:dyDescent="0.25">
      <c r="A12" s="8" t="s">
        <v>11</v>
      </c>
      <c r="B12" s="9"/>
      <c r="C12" s="9"/>
      <c r="D12" s="9"/>
      <c r="E12" s="9"/>
      <c r="F12" s="9"/>
      <c r="G12" s="9"/>
      <c r="H12" s="9"/>
      <c r="I12" s="9"/>
      <c r="J12" s="9"/>
      <c r="K12" s="9"/>
      <c r="L12" s="9"/>
    </row>
    <row r="13" spans="1:12" ht="20.25" customHeight="1" x14ac:dyDescent="0.25">
      <c r="A13" s="6" t="s">
        <v>12</v>
      </c>
      <c r="B13" s="12"/>
      <c r="C13" s="12"/>
      <c r="D13" s="12"/>
      <c r="E13" s="12"/>
      <c r="F13" s="12"/>
      <c r="G13" s="10">
        <f>447257171+F14</f>
        <v>449757899</v>
      </c>
      <c r="H13" s="10"/>
      <c r="I13" s="11" t="s">
        <v>10</v>
      </c>
      <c r="J13" s="13"/>
      <c r="K13" s="13"/>
      <c r="L13" s="13"/>
    </row>
    <row r="14" spans="1:12" ht="20.25" customHeight="1" x14ac:dyDescent="0.25">
      <c r="A14" s="14" t="s">
        <v>13</v>
      </c>
      <c r="B14" s="15"/>
      <c r="C14" s="15"/>
      <c r="D14" s="15"/>
      <c r="E14" s="16"/>
      <c r="F14" s="17">
        <f>1240419+1260309</f>
        <v>2500728</v>
      </c>
      <c r="G14" s="11" t="s">
        <v>10</v>
      </c>
      <c r="H14" s="18"/>
      <c r="I14" s="19"/>
      <c r="J14" s="20"/>
      <c r="K14" s="21"/>
      <c r="L14" s="9"/>
    </row>
    <row r="15" spans="1:12" ht="20.25" customHeight="1" x14ac:dyDescent="0.25">
      <c r="A15" s="6" t="s">
        <v>14</v>
      </c>
      <c r="B15" s="6"/>
      <c r="C15" s="6"/>
      <c r="D15" s="6"/>
      <c r="E15" s="6"/>
      <c r="F15" s="6"/>
      <c r="G15" s="6"/>
      <c r="H15" s="6"/>
      <c r="I15" s="6"/>
      <c r="J15" s="6"/>
      <c r="K15" s="6"/>
      <c r="L15" s="6"/>
    </row>
    <row r="16" spans="1:12" ht="20.25" customHeight="1" x14ac:dyDescent="0.25">
      <c r="A16" s="6" t="s">
        <v>15</v>
      </c>
      <c r="B16" s="12"/>
      <c r="C16" s="12"/>
      <c r="D16" s="12"/>
      <c r="E16" s="12"/>
      <c r="F16" s="12"/>
      <c r="G16" s="10">
        <v>111802673</v>
      </c>
      <c r="H16" s="10"/>
      <c r="I16" s="11" t="s">
        <v>10</v>
      </c>
      <c r="J16" s="13"/>
      <c r="K16" s="13"/>
      <c r="L16" s="13"/>
    </row>
    <row r="17" spans="1:12" ht="20.25" customHeight="1" x14ac:dyDescent="0.25">
      <c r="A17" s="8" t="s">
        <v>16</v>
      </c>
      <c r="B17" s="9"/>
      <c r="C17" s="9"/>
      <c r="D17" s="9"/>
      <c r="E17" s="9"/>
      <c r="F17" s="9"/>
      <c r="G17" s="9"/>
      <c r="H17" s="9"/>
      <c r="I17" s="9"/>
      <c r="J17" s="9"/>
      <c r="K17" s="9"/>
      <c r="L17" s="9"/>
    </row>
    <row r="18" spans="1:12" ht="20.25" customHeight="1" x14ac:dyDescent="0.25">
      <c r="A18" s="22" t="s">
        <v>17</v>
      </c>
      <c r="B18" s="22"/>
      <c r="C18" s="22"/>
      <c r="D18" s="22"/>
      <c r="E18" s="22"/>
      <c r="F18" s="22"/>
      <c r="G18" s="22"/>
      <c r="H18" s="22"/>
      <c r="I18" s="22"/>
      <c r="J18" s="22"/>
      <c r="K18" s="22"/>
    </row>
    <row r="19" spans="1:12" ht="39.75" customHeight="1" x14ac:dyDescent="0.25">
      <c r="A19" s="22" t="s">
        <v>18</v>
      </c>
      <c r="B19" s="22"/>
      <c r="C19" s="22"/>
      <c r="D19" s="22"/>
      <c r="E19" s="22"/>
      <c r="F19" s="22"/>
      <c r="G19" s="22"/>
      <c r="H19" s="22"/>
      <c r="I19" s="22"/>
      <c r="J19" s="22"/>
      <c r="K19" s="22"/>
    </row>
    <row r="20" spans="1:12" ht="23.25" customHeight="1" x14ac:dyDescent="0.25">
      <c r="A20" s="6" t="s">
        <v>19</v>
      </c>
      <c r="B20" s="6"/>
      <c r="C20" s="6"/>
      <c r="D20" s="6"/>
      <c r="E20" s="6"/>
      <c r="F20" s="6"/>
      <c r="G20" s="6"/>
      <c r="H20" s="6"/>
      <c r="I20" s="6"/>
      <c r="J20" s="6"/>
      <c r="K20" s="6"/>
      <c r="L20" s="6"/>
    </row>
    <row r="21" spans="1:12" ht="42.75" customHeight="1" x14ac:dyDescent="0.25">
      <c r="A21" s="6" t="s">
        <v>20</v>
      </c>
      <c r="B21" s="6"/>
      <c r="C21" s="6"/>
      <c r="D21" s="6"/>
      <c r="E21" s="6"/>
      <c r="F21" s="6"/>
      <c r="G21" s="6"/>
      <c r="H21" s="6"/>
      <c r="I21" s="6"/>
      <c r="J21" s="6"/>
      <c r="K21" s="6"/>
      <c r="L21" s="6"/>
    </row>
    <row r="22" spans="1:12" ht="24" customHeight="1" x14ac:dyDescent="0.25">
      <c r="A22" s="23" t="s">
        <v>21</v>
      </c>
      <c r="B22" s="24"/>
      <c r="C22" s="24"/>
      <c r="D22" s="24"/>
      <c r="E22" s="25"/>
      <c r="F22" s="25"/>
      <c r="G22" s="25"/>
      <c r="H22" s="25"/>
      <c r="I22" s="25"/>
      <c r="J22" s="26"/>
      <c r="K22" s="27" t="s">
        <v>22</v>
      </c>
      <c r="L22" s="27"/>
    </row>
    <row r="23" spans="1:12" ht="40.5" customHeight="1" x14ac:dyDescent="0.25">
      <c r="A23" s="28" t="s">
        <v>23</v>
      </c>
      <c r="B23" s="28"/>
      <c r="C23" s="29" t="s">
        <v>24</v>
      </c>
      <c r="D23" s="30" t="s">
        <v>25</v>
      </c>
      <c r="E23" s="29" t="s">
        <v>26</v>
      </c>
      <c r="F23" s="29" t="s">
        <v>27</v>
      </c>
      <c r="G23" s="29" t="s">
        <v>28</v>
      </c>
      <c r="H23" s="29" t="s">
        <v>29</v>
      </c>
      <c r="I23" s="31" t="s">
        <v>30</v>
      </c>
      <c r="J23" s="31" t="s">
        <v>31</v>
      </c>
      <c r="K23" s="28" t="s">
        <v>32</v>
      </c>
      <c r="L23" s="28"/>
    </row>
    <row r="24" spans="1:12" ht="16.7" customHeight="1" x14ac:dyDescent="0.25">
      <c r="A24" s="32" t="s">
        <v>33</v>
      </c>
      <c r="B24" s="32"/>
      <c r="C24" s="33"/>
      <c r="D24" s="29"/>
      <c r="E24" s="29"/>
      <c r="F24" s="29"/>
      <c r="G24" s="29"/>
      <c r="H24" s="29"/>
      <c r="I24" s="34"/>
      <c r="J24" s="31"/>
      <c r="K24" s="28"/>
      <c r="L24" s="35"/>
    </row>
    <row r="25" spans="1:12" ht="21.75" customHeight="1" x14ac:dyDescent="0.25">
      <c r="A25" s="36" t="s">
        <v>34</v>
      </c>
      <c r="B25" s="36"/>
      <c r="C25" s="37"/>
      <c r="D25" s="38"/>
      <c r="E25" s="38"/>
      <c r="F25" s="38"/>
      <c r="G25" s="38"/>
      <c r="H25" s="38"/>
      <c r="I25" s="38"/>
      <c r="J25" s="38"/>
      <c r="K25" s="39"/>
      <c r="L25" s="39"/>
    </row>
    <row r="26" spans="1:12" s="1" customFormat="1" ht="40.35" customHeight="1" x14ac:dyDescent="0.25">
      <c r="A26" s="40" t="s">
        <v>35</v>
      </c>
      <c r="B26" s="40"/>
      <c r="C26" s="41">
        <v>450000</v>
      </c>
      <c r="D26" s="25">
        <v>0</v>
      </c>
      <c r="E26" s="42">
        <v>57104</v>
      </c>
      <c r="F26" s="42"/>
      <c r="G26" s="42"/>
      <c r="H26" s="42"/>
      <c r="I26" s="43">
        <f t="shared" ref="I26" si="0">SUM(E26:H26)</f>
        <v>57104</v>
      </c>
      <c r="J26" s="44">
        <f t="shared" ref="J26:J89" si="1">IFERROR((I26/(C26+D26)),0)</f>
        <v>0.12689777777777778</v>
      </c>
      <c r="K26" s="45" t="s">
        <v>36</v>
      </c>
      <c r="L26" s="46"/>
    </row>
    <row r="27" spans="1:12" s="1" customFormat="1" ht="46.5" customHeight="1" x14ac:dyDescent="0.25">
      <c r="A27" s="40" t="s">
        <v>37</v>
      </c>
      <c r="B27" s="40"/>
      <c r="C27" s="47">
        <f>176456-158810</f>
        <v>17646</v>
      </c>
      <c r="D27" s="25">
        <v>0</v>
      </c>
      <c r="E27" s="42">
        <v>0</v>
      </c>
      <c r="F27" s="42"/>
      <c r="G27" s="42"/>
      <c r="H27" s="42"/>
      <c r="I27" s="43">
        <f t="shared" ref="I27:I58" si="2">SUM(E27:H27)</f>
        <v>0</v>
      </c>
      <c r="J27" s="44">
        <f t="shared" si="1"/>
        <v>0</v>
      </c>
      <c r="K27" s="48" t="s">
        <v>38</v>
      </c>
      <c r="L27" s="49"/>
    </row>
    <row r="28" spans="1:12" s="1" customFormat="1" ht="37.5" customHeight="1" x14ac:dyDescent="0.25">
      <c r="A28" s="40" t="s">
        <v>39</v>
      </c>
      <c r="B28" s="40"/>
      <c r="C28" s="47">
        <f>522978-100000</f>
        <v>422978</v>
      </c>
      <c r="D28" s="25">
        <v>0</v>
      </c>
      <c r="E28" s="42">
        <v>75290</v>
      </c>
      <c r="F28" s="42"/>
      <c r="G28" s="42"/>
      <c r="H28" s="42"/>
      <c r="I28" s="43">
        <f t="shared" si="2"/>
        <v>75290</v>
      </c>
      <c r="J28" s="44">
        <f t="shared" si="1"/>
        <v>0.17799980140811106</v>
      </c>
      <c r="K28" s="45" t="s">
        <v>40</v>
      </c>
      <c r="L28" s="45"/>
    </row>
    <row r="29" spans="1:12" s="1" customFormat="1" ht="47.1" customHeight="1" x14ac:dyDescent="0.25">
      <c r="A29" s="40" t="s">
        <v>41</v>
      </c>
      <c r="B29" s="40"/>
      <c r="C29" s="50">
        <f>1872000+2811912</f>
        <v>4683912</v>
      </c>
      <c r="D29" s="25">
        <v>0</v>
      </c>
      <c r="E29" s="42">
        <v>10689</v>
      </c>
      <c r="F29" s="42"/>
      <c r="G29" s="42"/>
      <c r="H29" s="42"/>
      <c r="I29" s="43">
        <f t="shared" si="2"/>
        <v>10689</v>
      </c>
      <c r="J29" s="44">
        <f t="shared" si="1"/>
        <v>2.2820667852000635E-3</v>
      </c>
      <c r="K29" s="45" t="s">
        <v>42</v>
      </c>
      <c r="L29" s="46"/>
    </row>
    <row r="30" spans="1:12" s="1" customFormat="1" ht="40.700000000000003" customHeight="1" x14ac:dyDescent="0.25">
      <c r="A30" s="40" t="s">
        <v>43</v>
      </c>
      <c r="B30" s="40"/>
      <c r="C30" s="47">
        <f>1173671-922820</f>
        <v>250851</v>
      </c>
      <c r="D30" s="25">
        <v>0</v>
      </c>
      <c r="E30" s="42">
        <v>37995</v>
      </c>
      <c r="F30" s="42"/>
      <c r="G30" s="42"/>
      <c r="H30" s="42"/>
      <c r="I30" s="43">
        <f t="shared" si="2"/>
        <v>37995</v>
      </c>
      <c r="J30" s="44">
        <f t="shared" si="1"/>
        <v>0.15146441513089443</v>
      </c>
      <c r="K30" s="45" t="s">
        <v>38</v>
      </c>
      <c r="L30" s="46"/>
    </row>
    <row r="31" spans="1:12" s="1" customFormat="1" ht="35.65" customHeight="1" x14ac:dyDescent="0.25">
      <c r="A31" s="40" t="s">
        <v>44</v>
      </c>
      <c r="B31" s="40"/>
      <c r="C31" s="47">
        <f>1985324-1662000</f>
        <v>323324</v>
      </c>
      <c r="D31" s="25">
        <v>0</v>
      </c>
      <c r="E31" s="42">
        <v>28463</v>
      </c>
      <c r="F31" s="42"/>
      <c r="G31" s="42"/>
      <c r="H31" s="42"/>
      <c r="I31" s="43">
        <f t="shared" si="2"/>
        <v>28463</v>
      </c>
      <c r="J31" s="44">
        <f t="shared" si="1"/>
        <v>8.8032438049758133E-2</v>
      </c>
      <c r="K31" s="45" t="s">
        <v>38</v>
      </c>
      <c r="L31" s="46"/>
    </row>
    <row r="32" spans="1:12" s="1" customFormat="1" ht="40.700000000000003" customHeight="1" x14ac:dyDescent="0.25">
      <c r="A32" s="40" t="s">
        <v>45</v>
      </c>
      <c r="B32" s="40"/>
      <c r="C32" s="47">
        <f>5300000-4050000</f>
        <v>1250000</v>
      </c>
      <c r="D32" s="25">
        <v>0</v>
      </c>
      <c r="E32" s="42">
        <v>90803</v>
      </c>
      <c r="F32" s="42"/>
      <c r="G32" s="42"/>
      <c r="H32" s="42"/>
      <c r="I32" s="43">
        <f t="shared" si="2"/>
        <v>90803</v>
      </c>
      <c r="J32" s="44">
        <f t="shared" si="1"/>
        <v>7.2642399999999996E-2</v>
      </c>
      <c r="K32" s="45" t="s">
        <v>38</v>
      </c>
      <c r="L32" s="46"/>
    </row>
    <row r="33" spans="1:12" s="1" customFormat="1" ht="43.35" customHeight="1" x14ac:dyDescent="0.25">
      <c r="A33" s="40" t="s">
        <v>46</v>
      </c>
      <c r="B33" s="40"/>
      <c r="C33" s="47">
        <f>720000-572000</f>
        <v>148000</v>
      </c>
      <c r="D33" s="25">
        <v>0</v>
      </c>
      <c r="E33" s="42">
        <v>0</v>
      </c>
      <c r="F33" s="42"/>
      <c r="G33" s="42"/>
      <c r="H33" s="42"/>
      <c r="I33" s="43">
        <f t="shared" si="2"/>
        <v>0</v>
      </c>
      <c r="J33" s="44">
        <f t="shared" si="1"/>
        <v>0</v>
      </c>
      <c r="K33" s="45" t="s">
        <v>47</v>
      </c>
      <c r="L33" s="46"/>
    </row>
    <row r="34" spans="1:12" s="1" customFormat="1" ht="46.5" customHeight="1" x14ac:dyDescent="0.25">
      <c r="A34" s="40" t="s">
        <v>48</v>
      </c>
      <c r="B34" s="40"/>
      <c r="C34" s="47">
        <f>1553380-1378380</f>
        <v>175000</v>
      </c>
      <c r="D34" s="25">
        <v>0</v>
      </c>
      <c r="E34" s="42">
        <v>0</v>
      </c>
      <c r="F34" s="42"/>
      <c r="G34" s="42"/>
      <c r="H34" s="42"/>
      <c r="I34" s="43">
        <f t="shared" si="2"/>
        <v>0</v>
      </c>
      <c r="J34" s="44">
        <f t="shared" si="1"/>
        <v>0</v>
      </c>
      <c r="K34" s="45" t="s">
        <v>42</v>
      </c>
      <c r="L34" s="46"/>
    </row>
    <row r="35" spans="1:12" s="1" customFormat="1" ht="39" customHeight="1" x14ac:dyDescent="0.25">
      <c r="A35" s="40" t="s">
        <v>49</v>
      </c>
      <c r="B35" s="40"/>
      <c r="C35" s="50">
        <f>3360+2483+6664+200000+215500+25500+185000</f>
        <v>638507</v>
      </c>
      <c r="D35" s="25">
        <v>0</v>
      </c>
      <c r="E35" s="42">
        <v>177740</v>
      </c>
      <c r="F35" s="42"/>
      <c r="G35" s="42"/>
      <c r="H35" s="42"/>
      <c r="I35" s="43">
        <f t="shared" si="2"/>
        <v>177740</v>
      </c>
      <c r="J35" s="44">
        <f t="shared" si="1"/>
        <v>0.27836813065479316</v>
      </c>
      <c r="K35" s="45" t="s">
        <v>38</v>
      </c>
      <c r="L35" s="45"/>
    </row>
    <row r="36" spans="1:12" s="1" customFormat="1" ht="30.4" customHeight="1" x14ac:dyDescent="0.25">
      <c r="A36" s="40" t="s">
        <v>50</v>
      </c>
      <c r="B36" s="40"/>
      <c r="C36" s="47">
        <f>786993-486000</f>
        <v>300993</v>
      </c>
      <c r="D36" s="25">
        <v>0</v>
      </c>
      <c r="E36" s="42">
        <v>68107</v>
      </c>
      <c r="F36" s="42"/>
      <c r="G36" s="42"/>
      <c r="H36" s="42"/>
      <c r="I36" s="43">
        <f t="shared" si="2"/>
        <v>68107</v>
      </c>
      <c r="J36" s="44">
        <f t="shared" si="1"/>
        <v>0.22627436518457239</v>
      </c>
      <c r="K36" s="45" t="s">
        <v>38</v>
      </c>
      <c r="L36" s="45"/>
    </row>
    <row r="37" spans="1:12" s="1" customFormat="1" ht="36.75" customHeight="1" x14ac:dyDescent="0.25">
      <c r="A37" s="40" t="s">
        <v>51</v>
      </c>
      <c r="B37" s="40"/>
      <c r="C37" s="50">
        <f>929574+1511142+753870+30000+300000+740000+50000</f>
        <v>4314586</v>
      </c>
      <c r="D37" s="25">
        <v>0</v>
      </c>
      <c r="E37" s="42">
        <v>463884</v>
      </c>
      <c r="F37" s="42"/>
      <c r="G37" s="42"/>
      <c r="H37" s="42"/>
      <c r="I37" s="43">
        <f t="shared" si="2"/>
        <v>463884</v>
      </c>
      <c r="J37" s="44">
        <f t="shared" si="1"/>
        <v>0.10751529810739663</v>
      </c>
      <c r="K37" s="45" t="s">
        <v>38</v>
      </c>
      <c r="L37" s="45"/>
    </row>
    <row r="38" spans="1:12" s="1" customFormat="1" ht="39" customHeight="1" x14ac:dyDescent="0.25">
      <c r="A38" s="40" t="s">
        <v>52</v>
      </c>
      <c r="B38" s="40"/>
      <c r="C38" s="50">
        <f>1497000+50000</f>
        <v>1547000</v>
      </c>
      <c r="D38" s="25">
        <v>0</v>
      </c>
      <c r="E38" s="42">
        <v>748500</v>
      </c>
      <c r="F38" s="42"/>
      <c r="G38" s="42"/>
      <c r="H38" s="42"/>
      <c r="I38" s="43">
        <f t="shared" si="2"/>
        <v>748500</v>
      </c>
      <c r="J38" s="44">
        <f t="shared" si="1"/>
        <v>0.48383968972204267</v>
      </c>
      <c r="K38" s="45" t="s">
        <v>38</v>
      </c>
      <c r="L38" s="45"/>
    </row>
    <row r="39" spans="1:12" s="1" customFormat="1" ht="25.5" customHeight="1" x14ac:dyDescent="0.25">
      <c r="A39" s="40" t="s">
        <v>53</v>
      </c>
      <c r="B39" s="40"/>
      <c r="C39" s="41">
        <v>50000</v>
      </c>
      <c r="D39" s="25">
        <v>0</v>
      </c>
      <c r="E39" s="42">
        <v>0</v>
      </c>
      <c r="F39" s="42"/>
      <c r="G39" s="42"/>
      <c r="H39" s="42"/>
      <c r="I39" s="43">
        <f t="shared" si="2"/>
        <v>0</v>
      </c>
      <c r="J39" s="44">
        <f t="shared" si="1"/>
        <v>0</v>
      </c>
      <c r="K39" s="45" t="s">
        <v>54</v>
      </c>
      <c r="L39" s="46"/>
    </row>
    <row r="40" spans="1:12" s="1" customFormat="1" ht="41.65" customHeight="1" x14ac:dyDescent="0.25">
      <c r="A40" s="40" t="s">
        <v>55</v>
      </c>
      <c r="B40" s="40"/>
      <c r="C40" s="41">
        <v>60000</v>
      </c>
      <c r="D40" s="25">
        <v>0</v>
      </c>
      <c r="E40" s="42">
        <v>0</v>
      </c>
      <c r="F40" s="42"/>
      <c r="G40" s="42"/>
      <c r="H40" s="42"/>
      <c r="I40" s="43">
        <f t="shared" si="2"/>
        <v>0</v>
      </c>
      <c r="J40" s="44">
        <f t="shared" si="1"/>
        <v>0</v>
      </c>
      <c r="K40" s="45" t="s">
        <v>56</v>
      </c>
      <c r="L40" s="46"/>
    </row>
    <row r="41" spans="1:12" s="1" customFormat="1" ht="40.700000000000003" customHeight="1" x14ac:dyDescent="0.25">
      <c r="A41" s="40" t="s">
        <v>57</v>
      </c>
      <c r="B41" s="40"/>
      <c r="C41" s="41">
        <v>80000</v>
      </c>
      <c r="D41" s="25">
        <v>0</v>
      </c>
      <c r="E41" s="42">
        <v>0</v>
      </c>
      <c r="F41" s="42"/>
      <c r="G41" s="42"/>
      <c r="H41" s="42"/>
      <c r="I41" s="43">
        <f t="shared" si="2"/>
        <v>0</v>
      </c>
      <c r="J41" s="44">
        <f t="shared" si="1"/>
        <v>0</v>
      </c>
      <c r="K41" s="45" t="s">
        <v>58</v>
      </c>
      <c r="L41" s="46"/>
    </row>
    <row r="42" spans="1:12" s="1" customFormat="1" ht="54.4" customHeight="1" x14ac:dyDescent="0.25">
      <c r="A42" s="40" t="s">
        <v>59</v>
      </c>
      <c r="B42" s="40"/>
      <c r="C42" s="41">
        <v>400000</v>
      </c>
      <c r="D42" s="25">
        <v>0</v>
      </c>
      <c r="E42" s="42">
        <v>0</v>
      </c>
      <c r="F42" s="42"/>
      <c r="G42" s="42"/>
      <c r="H42" s="42"/>
      <c r="I42" s="43">
        <f t="shared" si="2"/>
        <v>0</v>
      </c>
      <c r="J42" s="44">
        <f t="shared" si="1"/>
        <v>0</v>
      </c>
      <c r="K42" s="45" t="s">
        <v>56</v>
      </c>
      <c r="L42" s="46"/>
    </row>
    <row r="43" spans="1:12" s="1" customFormat="1" ht="38.65" customHeight="1" x14ac:dyDescent="0.25">
      <c r="A43" s="40" t="s">
        <v>60</v>
      </c>
      <c r="B43" s="40"/>
      <c r="C43" s="41">
        <v>400000</v>
      </c>
      <c r="D43" s="25">
        <v>0</v>
      </c>
      <c r="E43" s="42">
        <v>0</v>
      </c>
      <c r="F43" s="42"/>
      <c r="G43" s="42"/>
      <c r="H43" s="42"/>
      <c r="I43" s="43">
        <f t="shared" si="2"/>
        <v>0</v>
      </c>
      <c r="J43" s="44">
        <f t="shared" si="1"/>
        <v>0</v>
      </c>
      <c r="K43" s="45" t="s">
        <v>56</v>
      </c>
      <c r="L43" s="46"/>
    </row>
    <row r="44" spans="1:12" s="1" customFormat="1" ht="42" customHeight="1" x14ac:dyDescent="0.25">
      <c r="A44" s="40" t="s">
        <v>61</v>
      </c>
      <c r="B44" s="40"/>
      <c r="C44" s="50">
        <f>80000+470000</f>
        <v>550000</v>
      </c>
      <c r="D44" s="25">
        <v>0</v>
      </c>
      <c r="E44" s="42">
        <v>522500</v>
      </c>
      <c r="F44" s="42"/>
      <c r="G44" s="42"/>
      <c r="H44" s="42"/>
      <c r="I44" s="43">
        <f t="shared" si="2"/>
        <v>522500</v>
      </c>
      <c r="J44" s="44">
        <f t="shared" si="1"/>
        <v>0.95</v>
      </c>
      <c r="K44" s="45" t="s">
        <v>62</v>
      </c>
      <c r="L44" s="46"/>
    </row>
    <row r="45" spans="1:12" s="1" customFormat="1" ht="39" customHeight="1" x14ac:dyDescent="0.25">
      <c r="A45" s="40" t="s">
        <v>63</v>
      </c>
      <c r="B45" s="40"/>
      <c r="C45" s="50">
        <f>1925200+60000</f>
        <v>1985200</v>
      </c>
      <c r="D45" s="25">
        <v>0</v>
      </c>
      <c r="E45" s="42">
        <v>0</v>
      </c>
      <c r="F45" s="42"/>
      <c r="G45" s="42"/>
      <c r="H45" s="42"/>
      <c r="I45" s="43">
        <f t="shared" si="2"/>
        <v>0</v>
      </c>
      <c r="J45" s="44">
        <f t="shared" si="1"/>
        <v>0</v>
      </c>
      <c r="K45" s="45" t="s">
        <v>42</v>
      </c>
      <c r="L45" s="46"/>
    </row>
    <row r="46" spans="1:12" s="1" customFormat="1" ht="39.75" customHeight="1" x14ac:dyDescent="0.25">
      <c r="A46" s="40" t="s">
        <v>64</v>
      </c>
      <c r="B46" s="40"/>
      <c r="C46" s="47">
        <f>1434903-1291412</f>
        <v>143491</v>
      </c>
      <c r="D46" s="25">
        <v>0</v>
      </c>
      <c r="E46" s="42">
        <v>0</v>
      </c>
      <c r="F46" s="42"/>
      <c r="G46" s="42"/>
      <c r="H46" s="42"/>
      <c r="I46" s="43">
        <f t="shared" si="2"/>
        <v>0</v>
      </c>
      <c r="J46" s="44">
        <f t="shared" si="1"/>
        <v>0</v>
      </c>
      <c r="K46" s="45" t="s">
        <v>42</v>
      </c>
      <c r="L46" s="46"/>
    </row>
    <row r="47" spans="1:12" s="1" customFormat="1" ht="34.5" customHeight="1" x14ac:dyDescent="0.25">
      <c r="A47" s="40" t="s">
        <v>65</v>
      </c>
      <c r="B47" s="40"/>
      <c r="C47" s="47">
        <f>30206000-3536957</f>
        <v>26669043</v>
      </c>
      <c r="D47" s="25">
        <v>0</v>
      </c>
      <c r="E47" s="42">
        <v>0</v>
      </c>
      <c r="F47" s="42"/>
      <c r="G47" s="42"/>
      <c r="H47" s="42"/>
      <c r="I47" s="43">
        <f t="shared" si="2"/>
        <v>0</v>
      </c>
      <c r="J47" s="44">
        <f t="shared" si="1"/>
        <v>0</v>
      </c>
      <c r="K47" s="45" t="s">
        <v>42</v>
      </c>
      <c r="L47" s="46"/>
    </row>
    <row r="48" spans="1:12" s="1" customFormat="1" ht="33" customHeight="1" x14ac:dyDescent="0.25">
      <c r="A48" s="40" t="s">
        <v>66</v>
      </c>
      <c r="B48" s="40"/>
      <c r="C48" s="41">
        <v>30000</v>
      </c>
      <c r="D48" s="25">
        <v>0</v>
      </c>
      <c r="E48" s="42">
        <v>0</v>
      </c>
      <c r="F48" s="42"/>
      <c r="G48" s="42"/>
      <c r="H48" s="42"/>
      <c r="I48" s="43">
        <f t="shared" si="2"/>
        <v>0</v>
      </c>
      <c r="J48" s="44">
        <f t="shared" si="1"/>
        <v>0</v>
      </c>
      <c r="K48" s="45" t="s">
        <v>54</v>
      </c>
      <c r="L48" s="46"/>
    </row>
    <row r="49" spans="1:12" s="1" customFormat="1" ht="36.75" customHeight="1" x14ac:dyDescent="0.25">
      <c r="A49" s="40" t="s">
        <v>67</v>
      </c>
      <c r="B49" s="40"/>
      <c r="C49" s="41">
        <v>100000</v>
      </c>
      <c r="D49" s="25">
        <v>0</v>
      </c>
      <c r="E49" s="42">
        <v>35450</v>
      </c>
      <c r="F49" s="42"/>
      <c r="G49" s="42"/>
      <c r="H49" s="42"/>
      <c r="I49" s="43">
        <f t="shared" si="2"/>
        <v>35450</v>
      </c>
      <c r="J49" s="44">
        <f t="shared" si="1"/>
        <v>0.35449999999999998</v>
      </c>
      <c r="K49" s="45" t="s">
        <v>38</v>
      </c>
      <c r="L49" s="46"/>
    </row>
    <row r="50" spans="1:12" s="1" customFormat="1" ht="34.5" customHeight="1" x14ac:dyDescent="0.25">
      <c r="A50" s="40" t="s">
        <v>68</v>
      </c>
      <c r="B50" s="40"/>
      <c r="C50" s="41">
        <v>1941088</v>
      </c>
      <c r="D50" s="25">
        <v>0</v>
      </c>
      <c r="E50" s="42">
        <v>510019</v>
      </c>
      <c r="F50" s="42"/>
      <c r="G50" s="42"/>
      <c r="H50" s="42"/>
      <c r="I50" s="43">
        <f t="shared" si="2"/>
        <v>510019</v>
      </c>
      <c r="J50" s="44">
        <f t="shared" si="1"/>
        <v>0.26274903559241003</v>
      </c>
      <c r="K50" s="45" t="s">
        <v>38</v>
      </c>
      <c r="L50" s="46"/>
    </row>
    <row r="51" spans="1:12" s="1" customFormat="1" ht="47.65" customHeight="1" x14ac:dyDescent="0.25">
      <c r="A51" s="40" t="s">
        <v>69</v>
      </c>
      <c r="B51" s="40"/>
      <c r="C51" s="51">
        <f>21894264+571821-(16720113+514639)</f>
        <v>5231333</v>
      </c>
      <c r="D51" s="25">
        <v>0</v>
      </c>
      <c r="E51" s="42">
        <v>918248</v>
      </c>
      <c r="F51" s="42"/>
      <c r="G51" s="42"/>
      <c r="H51" s="42"/>
      <c r="I51" s="43">
        <f t="shared" si="2"/>
        <v>918248</v>
      </c>
      <c r="J51" s="44">
        <f t="shared" si="1"/>
        <v>0.17552849340693855</v>
      </c>
      <c r="K51" s="45" t="s">
        <v>70</v>
      </c>
      <c r="L51" s="46"/>
    </row>
    <row r="52" spans="1:12" s="1" customFormat="1" ht="41.25" customHeight="1" x14ac:dyDescent="0.25">
      <c r="A52" s="52" t="s">
        <v>71</v>
      </c>
      <c r="B52" s="52"/>
      <c r="C52" s="51">
        <f>26420000-3963000</f>
        <v>22457000</v>
      </c>
      <c r="D52" s="25">
        <v>0</v>
      </c>
      <c r="E52" s="42">
        <v>0</v>
      </c>
      <c r="F52" s="42"/>
      <c r="G52" s="42"/>
      <c r="H52" s="42"/>
      <c r="I52" s="43">
        <f t="shared" si="2"/>
        <v>0</v>
      </c>
      <c r="J52" s="44">
        <f t="shared" si="1"/>
        <v>0</v>
      </c>
      <c r="K52" s="45" t="s">
        <v>56</v>
      </c>
      <c r="L52" s="46"/>
    </row>
    <row r="53" spans="1:12" s="1" customFormat="1" ht="41.25" customHeight="1" x14ac:dyDescent="0.25">
      <c r="A53" s="52" t="s">
        <v>72</v>
      </c>
      <c r="B53" s="52"/>
      <c r="C53" s="41">
        <v>100000</v>
      </c>
      <c r="D53" s="25">
        <v>0</v>
      </c>
      <c r="E53" s="42">
        <v>0</v>
      </c>
      <c r="F53" s="42"/>
      <c r="G53" s="42"/>
      <c r="H53" s="42"/>
      <c r="I53" s="43">
        <f t="shared" si="2"/>
        <v>0</v>
      </c>
      <c r="J53" s="44">
        <f t="shared" si="1"/>
        <v>0</v>
      </c>
      <c r="K53" s="45" t="s">
        <v>56</v>
      </c>
      <c r="L53" s="46"/>
    </row>
    <row r="54" spans="1:12" s="1" customFormat="1" ht="41.25" customHeight="1" x14ac:dyDescent="0.25">
      <c r="A54" s="52" t="s">
        <v>73</v>
      </c>
      <c r="B54" s="52"/>
      <c r="C54" s="41">
        <v>120000</v>
      </c>
      <c r="D54" s="25">
        <v>0</v>
      </c>
      <c r="E54" s="42">
        <v>111500</v>
      </c>
      <c r="F54" s="42"/>
      <c r="G54" s="42"/>
      <c r="H54" s="42"/>
      <c r="I54" s="43">
        <f t="shared" si="2"/>
        <v>111500</v>
      </c>
      <c r="J54" s="44">
        <f t="shared" si="1"/>
        <v>0.9291666666666667</v>
      </c>
      <c r="K54" s="45" t="s">
        <v>38</v>
      </c>
      <c r="L54" s="46"/>
    </row>
    <row r="55" spans="1:12" s="1" customFormat="1" ht="52.35" customHeight="1" x14ac:dyDescent="0.25">
      <c r="A55" s="52" t="s">
        <v>74</v>
      </c>
      <c r="B55" s="52"/>
      <c r="C55" s="41">
        <v>3900000</v>
      </c>
      <c r="D55" s="25">
        <v>0</v>
      </c>
      <c r="E55" s="42">
        <v>0</v>
      </c>
      <c r="F55" s="42"/>
      <c r="G55" s="42"/>
      <c r="H55" s="42"/>
      <c r="I55" s="43">
        <f t="shared" si="2"/>
        <v>0</v>
      </c>
      <c r="J55" s="44">
        <f t="shared" si="1"/>
        <v>0</v>
      </c>
      <c r="K55" s="45" t="s">
        <v>42</v>
      </c>
      <c r="L55" s="46"/>
    </row>
    <row r="56" spans="1:12" s="1" customFormat="1" ht="54" customHeight="1" x14ac:dyDescent="0.25">
      <c r="A56" s="52" t="s">
        <v>75</v>
      </c>
      <c r="B56" s="52"/>
      <c r="C56" s="51">
        <f>89000-80000</f>
        <v>9000</v>
      </c>
      <c r="D56" s="25">
        <v>0</v>
      </c>
      <c r="E56" s="42">
        <v>0</v>
      </c>
      <c r="F56" s="42"/>
      <c r="G56" s="42"/>
      <c r="H56" s="42"/>
      <c r="I56" s="43">
        <f t="shared" si="2"/>
        <v>0</v>
      </c>
      <c r="J56" s="44">
        <f t="shared" si="1"/>
        <v>0</v>
      </c>
      <c r="K56" s="45" t="s">
        <v>76</v>
      </c>
      <c r="L56" s="46"/>
    </row>
    <row r="57" spans="1:12" s="1" customFormat="1" ht="38.25" customHeight="1" x14ac:dyDescent="0.25">
      <c r="A57" s="52" t="s">
        <v>77</v>
      </c>
      <c r="B57" s="52"/>
      <c r="C57" s="51">
        <v>0</v>
      </c>
      <c r="D57" s="50">
        <f>2987099+3750000</f>
        <v>6737099</v>
      </c>
      <c r="E57" s="42">
        <v>0</v>
      </c>
      <c r="F57" s="42"/>
      <c r="G57" s="42"/>
      <c r="H57" s="42"/>
      <c r="I57" s="43">
        <f t="shared" si="2"/>
        <v>0</v>
      </c>
      <c r="J57" s="44">
        <f t="shared" si="1"/>
        <v>0</v>
      </c>
      <c r="K57" s="45" t="s">
        <v>38</v>
      </c>
      <c r="L57" s="46"/>
    </row>
    <row r="58" spans="1:12" s="1" customFormat="1" ht="39" customHeight="1" x14ac:dyDescent="0.25">
      <c r="A58" s="52" t="s">
        <v>78</v>
      </c>
      <c r="B58" s="52"/>
      <c r="C58" s="51">
        <v>0</v>
      </c>
      <c r="D58" s="50">
        <v>6885000</v>
      </c>
      <c r="E58" s="42">
        <v>0</v>
      </c>
      <c r="F58" s="42"/>
      <c r="G58" s="42"/>
      <c r="H58" s="42"/>
      <c r="I58" s="43">
        <f t="shared" si="2"/>
        <v>0</v>
      </c>
      <c r="J58" s="44">
        <f t="shared" si="1"/>
        <v>0</v>
      </c>
      <c r="K58" s="45" t="s">
        <v>56</v>
      </c>
      <c r="L58" s="46"/>
    </row>
    <row r="59" spans="1:12" s="1" customFormat="1" ht="18.75" customHeight="1" x14ac:dyDescent="0.25">
      <c r="A59" s="53" t="s">
        <v>79</v>
      </c>
      <c r="B59" s="53"/>
      <c r="C59" s="54">
        <f>SUM(C26:C58)</f>
        <v>78748952</v>
      </c>
      <c r="D59" s="54">
        <f t="shared" ref="D59:I59" si="3">SUM(D26:D58)</f>
        <v>13622099</v>
      </c>
      <c r="E59" s="54">
        <f t="shared" si="3"/>
        <v>3856292</v>
      </c>
      <c r="F59" s="54">
        <f t="shared" si="3"/>
        <v>0</v>
      </c>
      <c r="G59" s="54">
        <f t="shared" si="3"/>
        <v>0</v>
      </c>
      <c r="H59" s="54">
        <f t="shared" si="3"/>
        <v>0</v>
      </c>
      <c r="I59" s="54">
        <f t="shared" si="3"/>
        <v>3856292</v>
      </c>
      <c r="J59" s="55">
        <f t="shared" si="1"/>
        <v>4.1747841539661601E-2</v>
      </c>
      <c r="K59" s="56"/>
      <c r="L59" s="57"/>
    </row>
    <row r="60" spans="1:12" s="1" customFormat="1" ht="21.75" customHeight="1" x14ac:dyDescent="0.25">
      <c r="A60" s="36" t="s">
        <v>80</v>
      </c>
      <c r="B60" s="36"/>
      <c r="C60" s="37"/>
      <c r="D60" s="38"/>
      <c r="E60" s="38"/>
      <c r="F60" s="38"/>
      <c r="G60" s="38"/>
      <c r="H60" s="38"/>
      <c r="I60" s="38"/>
      <c r="J60" s="38"/>
      <c r="K60" s="39"/>
      <c r="L60" s="39"/>
    </row>
    <row r="61" spans="1:12" s="1" customFormat="1" ht="26.25" customHeight="1" x14ac:dyDescent="0.25">
      <c r="A61" s="40" t="s">
        <v>81</v>
      </c>
      <c r="B61" s="40"/>
      <c r="C61" s="58">
        <f>807908+807908</f>
        <v>1615816</v>
      </c>
      <c r="D61" s="25">
        <v>0</v>
      </c>
      <c r="E61" s="42">
        <v>451168</v>
      </c>
      <c r="F61" s="42"/>
      <c r="G61" s="59"/>
      <c r="H61" s="42"/>
      <c r="I61" s="43">
        <f t="shared" ref="I61:I66" si="4">SUM(E61:H61)</f>
        <v>451168</v>
      </c>
      <c r="J61" s="44">
        <f t="shared" ref="J61:J66" si="5">IFERROR((I61/(C61+D61)),0)</f>
        <v>0.27921991117800543</v>
      </c>
      <c r="K61" s="45"/>
      <c r="L61" s="46"/>
    </row>
    <row r="62" spans="1:12" s="1" customFormat="1" ht="43.5" customHeight="1" x14ac:dyDescent="0.25">
      <c r="A62" s="40" t="s">
        <v>82</v>
      </c>
      <c r="B62" s="40"/>
      <c r="C62" s="47">
        <f>100000+4488000-3165000</f>
        <v>1423000</v>
      </c>
      <c r="D62" s="25">
        <v>0</v>
      </c>
      <c r="E62" s="42">
        <v>325952</v>
      </c>
      <c r="F62" s="42"/>
      <c r="G62" s="59"/>
      <c r="H62" s="42"/>
      <c r="I62" s="43">
        <f t="shared" si="4"/>
        <v>325952</v>
      </c>
      <c r="J62" s="44">
        <f t="shared" si="5"/>
        <v>0.22905973295853829</v>
      </c>
      <c r="K62" s="45" t="s">
        <v>38</v>
      </c>
      <c r="L62" s="46"/>
    </row>
    <row r="63" spans="1:12" s="1" customFormat="1" ht="33" customHeight="1" x14ac:dyDescent="0.25">
      <c r="A63" s="40" t="s">
        <v>83</v>
      </c>
      <c r="B63" s="40"/>
      <c r="C63" s="41">
        <v>457500</v>
      </c>
      <c r="D63" s="25">
        <v>0</v>
      </c>
      <c r="E63" s="42">
        <v>25731</v>
      </c>
      <c r="F63" s="42"/>
      <c r="G63" s="42"/>
      <c r="H63" s="42"/>
      <c r="I63" s="43">
        <f t="shared" si="4"/>
        <v>25731</v>
      </c>
      <c r="J63" s="44">
        <f t="shared" si="5"/>
        <v>5.6242622950819672E-2</v>
      </c>
      <c r="K63" s="45" t="s">
        <v>56</v>
      </c>
      <c r="L63" s="46"/>
    </row>
    <row r="64" spans="1:12" s="1" customFormat="1" ht="25.5" customHeight="1" x14ac:dyDescent="0.25">
      <c r="A64" s="40" t="s">
        <v>84</v>
      </c>
      <c r="B64" s="40"/>
      <c r="C64" s="41">
        <v>500000</v>
      </c>
      <c r="D64" s="25">
        <v>0</v>
      </c>
      <c r="E64" s="42">
        <v>0</v>
      </c>
      <c r="F64" s="42"/>
      <c r="G64" s="42"/>
      <c r="H64" s="42"/>
      <c r="I64" s="43">
        <f t="shared" si="4"/>
        <v>0</v>
      </c>
      <c r="J64" s="44">
        <f t="shared" si="5"/>
        <v>0</v>
      </c>
      <c r="K64" s="45" t="s">
        <v>85</v>
      </c>
      <c r="L64" s="46"/>
    </row>
    <row r="65" spans="1:12" s="1" customFormat="1" ht="39.4" customHeight="1" x14ac:dyDescent="0.25">
      <c r="A65" s="40" t="s">
        <v>86</v>
      </c>
      <c r="B65" s="40"/>
      <c r="C65" s="41">
        <v>700000</v>
      </c>
      <c r="D65" s="25">
        <v>0</v>
      </c>
      <c r="E65" s="42">
        <v>30000</v>
      </c>
      <c r="F65" s="42"/>
      <c r="G65" s="42"/>
      <c r="H65" s="42"/>
      <c r="I65" s="43">
        <f t="shared" si="4"/>
        <v>30000</v>
      </c>
      <c r="J65" s="44">
        <f t="shared" si="5"/>
        <v>4.2857142857142858E-2</v>
      </c>
      <c r="K65" s="45" t="s">
        <v>87</v>
      </c>
      <c r="L65" s="45"/>
    </row>
    <row r="66" spans="1:12" s="1" customFormat="1" ht="35.65" customHeight="1" x14ac:dyDescent="0.25">
      <c r="A66" s="40" t="s">
        <v>88</v>
      </c>
      <c r="B66" s="40"/>
      <c r="C66" s="41">
        <v>1320000</v>
      </c>
      <c r="D66" s="25">
        <v>0</v>
      </c>
      <c r="E66" s="42">
        <v>0</v>
      </c>
      <c r="F66" s="42"/>
      <c r="G66" s="42"/>
      <c r="H66" s="42"/>
      <c r="I66" s="43">
        <f t="shared" si="4"/>
        <v>0</v>
      </c>
      <c r="J66" s="44">
        <f t="shared" si="5"/>
        <v>0</v>
      </c>
      <c r="K66" s="45" t="s">
        <v>42</v>
      </c>
      <c r="L66" s="46"/>
    </row>
    <row r="67" spans="1:12" s="1" customFormat="1" ht="18.75" customHeight="1" x14ac:dyDescent="0.25">
      <c r="A67" s="53" t="s">
        <v>79</v>
      </c>
      <c r="B67" s="53"/>
      <c r="C67" s="54">
        <f>SUM(C61:C66)</f>
        <v>6016316</v>
      </c>
      <c r="D67" s="54">
        <f t="shared" ref="D67:I67" si="6">SUM(D61:D66)</f>
        <v>0</v>
      </c>
      <c r="E67" s="54">
        <f t="shared" si="6"/>
        <v>832851</v>
      </c>
      <c r="F67" s="54">
        <f t="shared" si="6"/>
        <v>0</v>
      </c>
      <c r="G67" s="54">
        <f t="shared" si="6"/>
        <v>0</v>
      </c>
      <c r="H67" s="54">
        <f t="shared" si="6"/>
        <v>0</v>
      </c>
      <c r="I67" s="54">
        <f t="shared" si="6"/>
        <v>832851</v>
      </c>
      <c r="J67" s="55">
        <f t="shared" si="1"/>
        <v>0.13843205709274578</v>
      </c>
      <c r="K67" s="56"/>
      <c r="L67" s="57"/>
    </row>
    <row r="68" spans="1:12" s="1" customFormat="1" ht="21.75" customHeight="1" x14ac:dyDescent="0.25">
      <c r="A68" s="36" t="s">
        <v>89</v>
      </c>
      <c r="B68" s="36"/>
      <c r="C68" s="37"/>
      <c r="D68" s="38"/>
      <c r="E68" s="38"/>
      <c r="F68" s="38"/>
      <c r="G68" s="38"/>
      <c r="H68" s="38"/>
      <c r="I68" s="38"/>
      <c r="J68" s="38"/>
      <c r="K68" s="39"/>
      <c r="L68" s="39"/>
    </row>
    <row r="69" spans="1:12" s="1" customFormat="1" ht="36" customHeight="1" x14ac:dyDescent="0.25">
      <c r="A69" s="40" t="s">
        <v>90</v>
      </c>
      <c r="B69" s="40"/>
      <c r="C69" s="58">
        <f>400000+400000</f>
        <v>800000</v>
      </c>
      <c r="D69" s="25">
        <v>0</v>
      </c>
      <c r="E69" s="42">
        <v>0</v>
      </c>
      <c r="F69" s="42"/>
      <c r="G69" s="42"/>
      <c r="H69" s="42"/>
      <c r="I69" s="43">
        <f t="shared" ref="I69:I88" si="7">SUM(E69:H69)</f>
        <v>0</v>
      </c>
      <c r="J69" s="44">
        <f t="shared" ref="J69:J88" si="8">IFERROR((I69/(C69+D69)),0)</f>
        <v>0</v>
      </c>
      <c r="K69" s="45" t="s">
        <v>56</v>
      </c>
      <c r="L69" s="46"/>
    </row>
    <row r="70" spans="1:12" s="1" customFormat="1" ht="37.5" customHeight="1" x14ac:dyDescent="0.25">
      <c r="A70" s="40" t="s">
        <v>91</v>
      </c>
      <c r="B70" s="40"/>
      <c r="C70" s="47">
        <f>1313520+65868570-(1285200+63889090)</f>
        <v>2007800</v>
      </c>
      <c r="D70" s="25">
        <v>0</v>
      </c>
      <c r="E70" s="42">
        <v>0</v>
      </c>
      <c r="F70" s="42"/>
      <c r="G70" s="42"/>
      <c r="H70" s="42"/>
      <c r="I70" s="43">
        <f t="shared" si="7"/>
        <v>0</v>
      </c>
      <c r="J70" s="44">
        <f t="shared" si="8"/>
        <v>0</v>
      </c>
      <c r="K70" s="48" t="s">
        <v>92</v>
      </c>
      <c r="L70" s="49"/>
    </row>
    <row r="71" spans="1:12" s="1" customFormat="1" ht="30" customHeight="1" x14ac:dyDescent="0.25">
      <c r="A71" s="40" t="s">
        <v>93</v>
      </c>
      <c r="B71" s="40"/>
      <c r="C71" s="41">
        <v>130000</v>
      </c>
      <c r="D71" s="25">
        <v>0</v>
      </c>
      <c r="E71" s="42">
        <v>0</v>
      </c>
      <c r="F71" s="42"/>
      <c r="G71" s="42"/>
      <c r="H71" s="42"/>
      <c r="I71" s="43">
        <f t="shared" si="7"/>
        <v>0</v>
      </c>
      <c r="J71" s="44">
        <f t="shared" si="8"/>
        <v>0</v>
      </c>
      <c r="K71" s="45" t="s">
        <v>38</v>
      </c>
      <c r="L71" s="46"/>
    </row>
    <row r="72" spans="1:12" s="1" customFormat="1" ht="30.75" customHeight="1" x14ac:dyDescent="0.25">
      <c r="A72" s="40" t="s">
        <v>94</v>
      </c>
      <c r="B72" s="40"/>
      <c r="C72" s="41">
        <v>1691880</v>
      </c>
      <c r="D72" s="25">
        <v>0</v>
      </c>
      <c r="E72" s="42">
        <v>549768</v>
      </c>
      <c r="F72" s="42"/>
      <c r="G72" s="42"/>
      <c r="H72" s="42"/>
      <c r="I72" s="43">
        <f t="shared" si="7"/>
        <v>549768</v>
      </c>
      <c r="J72" s="44">
        <f t="shared" si="8"/>
        <v>0.32494503156252219</v>
      </c>
      <c r="K72" s="45" t="s">
        <v>38</v>
      </c>
      <c r="L72" s="46"/>
    </row>
    <row r="73" spans="1:12" s="1" customFormat="1" ht="31.5" customHeight="1" x14ac:dyDescent="0.25">
      <c r="A73" s="40" t="s">
        <v>95</v>
      </c>
      <c r="B73" s="40"/>
      <c r="C73" s="47">
        <f>17339500-11839500</f>
        <v>5500000</v>
      </c>
      <c r="D73" s="25">
        <v>0</v>
      </c>
      <c r="E73" s="42">
        <v>729540</v>
      </c>
      <c r="F73" s="42"/>
      <c r="G73" s="42"/>
      <c r="H73" s="42"/>
      <c r="I73" s="43">
        <f t="shared" si="7"/>
        <v>729540</v>
      </c>
      <c r="J73" s="44">
        <f t="shared" si="8"/>
        <v>0.13264363636363635</v>
      </c>
      <c r="K73" s="45" t="s">
        <v>38</v>
      </c>
      <c r="L73" s="46"/>
    </row>
    <row r="74" spans="1:12" s="1" customFormat="1" ht="41.25" customHeight="1" x14ac:dyDescent="0.25">
      <c r="A74" s="40" t="s">
        <v>96</v>
      </c>
      <c r="B74" s="40"/>
      <c r="C74" s="47">
        <f>3852000-2592000</f>
        <v>1260000</v>
      </c>
      <c r="D74" s="25">
        <v>0</v>
      </c>
      <c r="E74" s="42">
        <v>0</v>
      </c>
      <c r="F74" s="42"/>
      <c r="G74" s="42"/>
      <c r="H74" s="42"/>
      <c r="I74" s="43">
        <f t="shared" si="7"/>
        <v>0</v>
      </c>
      <c r="J74" s="44">
        <f t="shared" si="8"/>
        <v>0</v>
      </c>
      <c r="K74" s="48" t="s">
        <v>97</v>
      </c>
      <c r="L74" s="49"/>
    </row>
    <row r="75" spans="1:12" s="1" customFormat="1" ht="47.25" customHeight="1" x14ac:dyDescent="0.25">
      <c r="A75" s="40" t="s">
        <v>98</v>
      </c>
      <c r="B75" s="40"/>
      <c r="C75" s="41">
        <v>355000</v>
      </c>
      <c r="D75" s="25">
        <v>0</v>
      </c>
      <c r="E75" s="42">
        <v>22940</v>
      </c>
      <c r="F75" s="42"/>
      <c r="G75" s="42"/>
      <c r="H75" s="42"/>
      <c r="I75" s="43">
        <f t="shared" si="7"/>
        <v>22940</v>
      </c>
      <c r="J75" s="44">
        <f t="shared" si="8"/>
        <v>6.4619718309859159E-2</v>
      </c>
      <c r="K75" s="45" t="s">
        <v>38</v>
      </c>
      <c r="L75" s="46"/>
    </row>
    <row r="76" spans="1:12" s="1" customFormat="1" ht="33.75" customHeight="1" x14ac:dyDescent="0.25">
      <c r="A76" s="40" t="s">
        <v>99</v>
      </c>
      <c r="B76" s="40"/>
      <c r="C76" s="41">
        <v>600000</v>
      </c>
      <c r="D76" s="25">
        <v>0</v>
      </c>
      <c r="E76" s="42">
        <v>0</v>
      </c>
      <c r="F76" s="42"/>
      <c r="G76" s="42"/>
      <c r="H76" s="42"/>
      <c r="I76" s="43">
        <f t="shared" si="7"/>
        <v>0</v>
      </c>
      <c r="J76" s="44">
        <f t="shared" si="8"/>
        <v>0</v>
      </c>
      <c r="K76" s="45" t="s">
        <v>56</v>
      </c>
      <c r="L76" s="46"/>
    </row>
    <row r="77" spans="1:12" s="1" customFormat="1" ht="34.5" customHeight="1" x14ac:dyDescent="0.25">
      <c r="A77" s="40" t="s">
        <v>100</v>
      </c>
      <c r="B77" s="40"/>
      <c r="C77" s="58">
        <f>9500000+27632050</f>
        <v>37132050</v>
      </c>
      <c r="D77" s="25">
        <v>0</v>
      </c>
      <c r="E77" s="42">
        <v>13252730</v>
      </c>
      <c r="F77" s="42"/>
      <c r="G77" s="42"/>
      <c r="H77" s="42"/>
      <c r="I77" s="43">
        <f t="shared" si="7"/>
        <v>13252730</v>
      </c>
      <c r="J77" s="44">
        <f t="shared" si="8"/>
        <v>0.35690811576522169</v>
      </c>
      <c r="K77" s="45" t="s">
        <v>38</v>
      </c>
      <c r="L77" s="46"/>
    </row>
    <row r="78" spans="1:12" s="1" customFormat="1" ht="32.25" customHeight="1" x14ac:dyDescent="0.25">
      <c r="A78" s="40" t="s">
        <v>101</v>
      </c>
      <c r="B78" s="40"/>
      <c r="C78" s="41">
        <v>1000000</v>
      </c>
      <c r="D78" s="25">
        <v>0</v>
      </c>
      <c r="E78" s="42">
        <v>1000000</v>
      </c>
      <c r="F78" s="42"/>
      <c r="G78" s="42"/>
      <c r="H78" s="42"/>
      <c r="I78" s="43">
        <f t="shared" si="7"/>
        <v>1000000</v>
      </c>
      <c r="J78" s="44">
        <f t="shared" si="8"/>
        <v>1</v>
      </c>
      <c r="K78" s="48" t="s">
        <v>62</v>
      </c>
      <c r="L78" s="49"/>
    </row>
    <row r="79" spans="1:12" s="1" customFormat="1" ht="46.7" customHeight="1" x14ac:dyDescent="0.25">
      <c r="A79" s="40" t="s">
        <v>102</v>
      </c>
      <c r="B79" s="40"/>
      <c r="C79" s="47">
        <f>2250000-1050000</f>
        <v>1200000</v>
      </c>
      <c r="D79" s="25">
        <v>0</v>
      </c>
      <c r="E79" s="42">
        <v>0</v>
      </c>
      <c r="F79" s="42"/>
      <c r="G79" s="42"/>
      <c r="H79" s="42"/>
      <c r="I79" s="43">
        <f t="shared" si="7"/>
        <v>0</v>
      </c>
      <c r="J79" s="44">
        <f t="shared" si="8"/>
        <v>0</v>
      </c>
      <c r="K79" s="45" t="s">
        <v>38</v>
      </c>
      <c r="L79" s="46"/>
    </row>
    <row r="80" spans="1:12" s="1" customFormat="1" ht="33" customHeight="1" x14ac:dyDescent="0.25">
      <c r="A80" s="40" t="s">
        <v>103</v>
      </c>
      <c r="B80" s="40"/>
      <c r="C80" s="47">
        <f>575000-375000</f>
        <v>200000</v>
      </c>
      <c r="D80" s="25">
        <v>0</v>
      </c>
      <c r="E80" s="42">
        <v>0</v>
      </c>
      <c r="F80" s="42"/>
      <c r="G80" s="42"/>
      <c r="H80" s="42"/>
      <c r="I80" s="43">
        <f t="shared" si="7"/>
        <v>0</v>
      </c>
      <c r="J80" s="44">
        <f t="shared" si="8"/>
        <v>0</v>
      </c>
      <c r="K80" s="48" t="s">
        <v>97</v>
      </c>
      <c r="L80" s="49"/>
    </row>
    <row r="81" spans="1:12" s="1" customFormat="1" ht="30" customHeight="1" x14ac:dyDescent="0.25">
      <c r="A81" s="40" t="s">
        <v>104</v>
      </c>
      <c r="B81" s="40"/>
      <c r="C81" s="47">
        <f>1220000-610000</f>
        <v>610000</v>
      </c>
      <c r="D81" s="25">
        <v>0</v>
      </c>
      <c r="E81" s="42">
        <v>0</v>
      </c>
      <c r="F81" s="42"/>
      <c r="G81" s="42"/>
      <c r="H81" s="42"/>
      <c r="I81" s="43">
        <f t="shared" si="7"/>
        <v>0</v>
      </c>
      <c r="J81" s="44">
        <f t="shared" si="8"/>
        <v>0</v>
      </c>
      <c r="K81" s="48" t="s">
        <v>97</v>
      </c>
      <c r="L81" s="49"/>
    </row>
    <row r="82" spans="1:12" s="1" customFormat="1" ht="35.25" customHeight="1" x14ac:dyDescent="0.25">
      <c r="A82" s="40" t="s">
        <v>105</v>
      </c>
      <c r="B82" s="40"/>
      <c r="C82" s="47">
        <f>4516000-3688000</f>
        <v>828000</v>
      </c>
      <c r="D82" s="25">
        <v>0</v>
      </c>
      <c r="E82" s="42">
        <v>0</v>
      </c>
      <c r="F82" s="42"/>
      <c r="G82" s="42"/>
      <c r="H82" s="42"/>
      <c r="I82" s="43">
        <f t="shared" si="7"/>
        <v>0</v>
      </c>
      <c r="J82" s="44">
        <f t="shared" si="8"/>
        <v>0</v>
      </c>
      <c r="K82" s="48" t="s">
        <v>97</v>
      </c>
      <c r="L82" s="49"/>
    </row>
    <row r="83" spans="1:12" s="1" customFormat="1" ht="48.75" customHeight="1" x14ac:dyDescent="0.25">
      <c r="A83" s="40" t="s">
        <v>106</v>
      </c>
      <c r="B83" s="40"/>
      <c r="C83" s="41">
        <v>2160000</v>
      </c>
      <c r="D83" s="25">
        <v>0</v>
      </c>
      <c r="E83" s="42">
        <v>0</v>
      </c>
      <c r="F83" s="42"/>
      <c r="G83" s="42"/>
      <c r="H83" s="42"/>
      <c r="I83" s="43">
        <f t="shared" si="7"/>
        <v>0</v>
      </c>
      <c r="J83" s="44">
        <f t="shared" si="8"/>
        <v>0</v>
      </c>
      <c r="K83" s="45" t="s">
        <v>107</v>
      </c>
      <c r="L83" s="46"/>
    </row>
    <row r="84" spans="1:12" s="1" customFormat="1" ht="47.65" customHeight="1" x14ac:dyDescent="0.25">
      <c r="A84" s="52" t="s">
        <v>108</v>
      </c>
      <c r="B84" s="52"/>
      <c r="C84" s="47">
        <f>6077500-5757500</f>
        <v>320000</v>
      </c>
      <c r="D84" s="25">
        <v>0</v>
      </c>
      <c r="E84" s="42">
        <v>0</v>
      </c>
      <c r="F84" s="42"/>
      <c r="G84" s="42"/>
      <c r="H84" s="42"/>
      <c r="I84" s="43">
        <f t="shared" si="7"/>
        <v>0</v>
      </c>
      <c r="J84" s="44">
        <f t="shared" si="8"/>
        <v>0</v>
      </c>
      <c r="K84" s="48" t="s">
        <v>92</v>
      </c>
      <c r="L84" s="49"/>
    </row>
    <row r="85" spans="1:12" s="1" customFormat="1" ht="44.65" customHeight="1" x14ac:dyDescent="0.25">
      <c r="A85" s="52" t="s">
        <v>109</v>
      </c>
      <c r="B85" s="60"/>
      <c r="C85" s="41">
        <v>200000</v>
      </c>
      <c r="D85" s="25">
        <v>0</v>
      </c>
      <c r="E85" s="42">
        <v>28500</v>
      </c>
      <c r="F85" s="42"/>
      <c r="G85" s="42"/>
      <c r="H85" s="42"/>
      <c r="I85" s="43">
        <f t="shared" si="7"/>
        <v>28500</v>
      </c>
      <c r="J85" s="44">
        <f t="shared" si="8"/>
        <v>0.14249999999999999</v>
      </c>
      <c r="K85" s="45" t="s">
        <v>56</v>
      </c>
      <c r="L85" s="46"/>
    </row>
    <row r="86" spans="1:12" s="1" customFormat="1" ht="37.35" customHeight="1" x14ac:dyDescent="0.25">
      <c r="A86" s="52" t="s">
        <v>110</v>
      </c>
      <c r="B86" s="52"/>
      <c r="C86" s="41">
        <v>200000</v>
      </c>
      <c r="D86" s="25">
        <v>0</v>
      </c>
      <c r="E86" s="42">
        <v>0</v>
      </c>
      <c r="F86" s="42"/>
      <c r="G86" s="42"/>
      <c r="H86" s="42"/>
      <c r="I86" s="43">
        <f t="shared" si="7"/>
        <v>0</v>
      </c>
      <c r="J86" s="44">
        <f t="shared" si="8"/>
        <v>0</v>
      </c>
      <c r="K86" s="48" t="s">
        <v>111</v>
      </c>
      <c r="L86" s="49"/>
    </row>
    <row r="87" spans="1:12" s="1" customFormat="1" ht="42.4" customHeight="1" x14ac:dyDescent="0.25">
      <c r="A87" s="52" t="s">
        <v>112</v>
      </c>
      <c r="B87" s="52"/>
      <c r="C87" s="61">
        <f>25816160-3872425</f>
        <v>21943735</v>
      </c>
      <c r="D87" s="25">
        <v>0</v>
      </c>
      <c r="E87" s="42">
        <v>309918</v>
      </c>
      <c r="F87" s="42"/>
      <c r="G87" s="42"/>
      <c r="H87" s="42"/>
      <c r="I87" s="43">
        <f t="shared" si="7"/>
        <v>309918</v>
      </c>
      <c r="J87" s="44">
        <f t="shared" si="8"/>
        <v>1.412330216346488E-2</v>
      </c>
      <c r="K87" s="48" t="s">
        <v>113</v>
      </c>
      <c r="L87" s="49"/>
    </row>
    <row r="88" spans="1:12" s="1" customFormat="1" ht="42.4" customHeight="1" x14ac:dyDescent="0.25">
      <c r="A88" s="52" t="s">
        <v>114</v>
      </c>
      <c r="B88" s="52"/>
      <c r="C88" s="41">
        <v>12766822</v>
      </c>
      <c r="D88" s="25">
        <v>0</v>
      </c>
      <c r="E88" s="42">
        <v>0</v>
      </c>
      <c r="F88" s="42"/>
      <c r="G88" s="42"/>
      <c r="H88" s="42"/>
      <c r="I88" s="43">
        <f t="shared" si="7"/>
        <v>0</v>
      </c>
      <c r="J88" s="44">
        <f t="shared" si="8"/>
        <v>0</v>
      </c>
      <c r="K88" s="48" t="s">
        <v>113</v>
      </c>
      <c r="L88" s="49"/>
    </row>
    <row r="89" spans="1:12" s="1" customFormat="1" ht="18.75" customHeight="1" x14ac:dyDescent="0.25">
      <c r="A89" s="53" t="s">
        <v>79</v>
      </c>
      <c r="B89" s="53"/>
      <c r="C89" s="54">
        <f>SUM(C69:C88)</f>
        <v>90905287</v>
      </c>
      <c r="D89" s="54">
        <f t="shared" ref="D89:I89" si="9">SUM(D69:D88)</f>
        <v>0</v>
      </c>
      <c r="E89" s="54">
        <f t="shared" si="9"/>
        <v>15893396</v>
      </c>
      <c r="F89" s="54">
        <f t="shared" si="9"/>
        <v>0</v>
      </c>
      <c r="G89" s="54">
        <f t="shared" si="9"/>
        <v>0</v>
      </c>
      <c r="H89" s="54">
        <f t="shared" si="9"/>
        <v>0</v>
      </c>
      <c r="I89" s="54">
        <f t="shared" si="9"/>
        <v>15893396</v>
      </c>
      <c r="J89" s="55">
        <f t="shared" si="1"/>
        <v>0.17483467160716407</v>
      </c>
      <c r="K89" s="56"/>
      <c r="L89" s="57"/>
    </row>
    <row r="90" spans="1:12" s="1" customFormat="1" ht="21.75" customHeight="1" x14ac:dyDescent="0.25">
      <c r="A90" s="36" t="s">
        <v>115</v>
      </c>
      <c r="B90" s="36"/>
      <c r="C90" s="37"/>
      <c r="D90" s="38"/>
      <c r="E90" s="38"/>
      <c r="F90" s="38"/>
      <c r="G90" s="38"/>
      <c r="H90" s="38"/>
      <c r="I90" s="38"/>
      <c r="J90" s="38"/>
      <c r="K90" s="39"/>
      <c r="L90" s="39"/>
    </row>
    <row r="91" spans="1:12" s="1" customFormat="1" ht="39" customHeight="1" x14ac:dyDescent="0.25">
      <c r="A91" s="40" t="s">
        <v>116</v>
      </c>
      <c r="B91" s="40"/>
      <c r="C91" s="41">
        <v>1000000</v>
      </c>
      <c r="D91" s="25">
        <v>0</v>
      </c>
      <c r="E91" s="42">
        <v>241389</v>
      </c>
      <c r="F91" s="42"/>
      <c r="G91" s="62"/>
      <c r="H91" s="63"/>
      <c r="I91" s="43">
        <f t="shared" ref="I91:I117" si="10">SUM(E91:H91)</f>
        <v>241389</v>
      </c>
      <c r="J91" s="44">
        <f t="shared" ref="J91:J133" si="11">IFERROR((I91/(C91+D91)),0)</f>
        <v>0.24138899999999999</v>
      </c>
      <c r="K91" s="48" t="s">
        <v>117</v>
      </c>
      <c r="L91" s="49"/>
    </row>
    <row r="92" spans="1:12" s="1" customFormat="1" ht="39" customHeight="1" x14ac:dyDescent="0.25">
      <c r="A92" s="40" t="s">
        <v>118</v>
      </c>
      <c r="B92" s="40"/>
      <c r="C92" s="58">
        <f>1688724+100000+150000</f>
        <v>1938724</v>
      </c>
      <c r="D92" s="25">
        <v>0</v>
      </c>
      <c r="E92" s="42">
        <v>310866</v>
      </c>
      <c r="F92" s="42"/>
      <c r="G92" s="42"/>
      <c r="H92" s="42"/>
      <c r="I92" s="43">
        <f t="shared" si="10"/>
        <v>310866</v>
      </c>
      <c r="J92" s="44">
        <f t="shared" si="11"/>
        <v>0.1603456706576078</v>
      </c>
      <c r="K92" s="48" t="s">
        <v>38</v>
      </c>
      <c r="L92" s="49"/>
    </row>
    <row r="93" spans="1:12" s="1" customFormat="1" ht="35.25" customHeight="1" x14ac:dyDescent="0.25">
      <c r="A93" s="40" t="s">
        <v>119</v>
      </c>
      <c r="B93" s="40"/>
      <c r="C93" s="41">
        <v>520000</v>
      </c>
      <c r="D93" s="25">
        <v>0</v>
      </c>
      <c r="E93" s="42">
        <v>0</v>
      </c>
      <c r="F93" s="42"/>
      <c r="G93" s="42"/>
      <c r="H93" s="42"/>
      <c r="I93" s="43">
        <f t="shared" si="10"/>
        <v>0</v>
      </c>
      <c r="J93" s="44">
        <f t="shared" si="11"/>
        <v>0</v>
      </c>
      <c r="K93" s="48" t="s">
        <v>76</v>
      </c>
      <c r="L93" s="48"/>
    </row>
    <row r="94" spans="1:12" s="1" customFormat="1" ht="39" customHeight="1" x14ac:dyDescent="0.25">
      <c r="A94" s="40" t="s">
        <v>120</v>
      </c>
      <c r="B94" s="40"/>
      <c r="C94" s="41">
        <v>8000000</v>
      </c>
      <c r="D94" s="25">
        <v>0</v>
      </c>
      <c r="E94" s="42">
        <v>33200</v>
      </c>
      <c r="F94" s="42"/>
      <c r="G94" s="42"/>
      <c r="H94" s="42"/>
      <c r="I94" s="43">
        <f t="shared" si="10"/>
        <v>33200</v>
      </c>
      <c r="J94" s="44">
        <f t="shared" si="11"/>
        <v>4.15E-3</v>
      </c>
      <c r="K94" s="48" t="s">
        <v>121</v>
      </c>
      <c r="L94" s="48"/>
    </row>
    <row r="95" spans="1:12" s="1" customFormat="1" ht="28.5" customHeight="1" x14ac:dyDescent="0.25">
      <c r="A95" s="40" t="s">
        <v>122</v>
      </c>
      <c r="B95" s="40"/>
      <c r="C95" s="47">
        <f>7544600-4765000</f>
        <v>2779600</v>
      </c>
      <c r="D95" s="25">
        <v>0</v>
      </c>
      <c r="E95" s="42">
        <v>0</v>
      </c>
      <c r="F95" s="42"/>
      <c r="G95" s="42"/>
      <c r="H95" s="42"/>
      <c r="I95" s="43">
        <f t="shared" si="10"/>
        <v>0</v>
      </c>
      <c r="J95" s="44">
        <f t="shared" si="11"/>
        <v>0</v>
      </c>
      <c r="K95" s="48" t="s">
        <v>121</v>
      </c>
      <c r="L95" s="48"/>
    </row>
    <row r="96" spans="1:12" s="1" customFormat="1" ht="39" customHeight="1" x14ac:dyDescent="0.25">
      <c r="A96" s="40" t="s">
        <v>123</v>
      </c>
      <c r="B96" s="40"/>
      <c r="C96" s="47">
        <f>5000000-2808000</f>
        <v>2192000</v>
      </c>
      <c r="D96" s="25">
        <v>0</v>
      </c>
      <c r="E96" s="42">
        <v>0</v>
      </c>
      <c r="F96" s="42"/>
      <c r="G96" s="42"/>
      <c r="H96" s="42"/>
      <c r="I96" s="43">
        <f t="shared" si="10"/>
        <v>0</v>
      </c>
      <c r="J96" s="44">
        <f t="shared" si="11"/>
        <v>0</v>
      </c>
      <c r="K96" s="48" t="s">
        <v>121</v>
      </c>
      <c r="L96" s="48"/>
    </row>
    <row r="97" spans="1:12" s="1" customFormat="1" ht="41.25" customHeight="1" x14ac:dyDescent="0.25">
      <c r="A97" s="40" t="s">
        <v>124</v>
      </c>
      <c r="B97" s="40"/>
      <c r="C97" s="58">
        <f>28552+135000</f>
        <v>163552</v>
      </c>
      <c r="D97" s="25">
        <v>0</v>
      </c>
      <c r="E97" s="42">
        <v>0</v>
      </c>
      <c r="F97" s="42"/>
      <c r="G97" s="42"/>
      <c r="H97" s="42"/>
      <c r="I97" s="43">
        <f t="shared" si="10"/>
        <v>0</v>
      </c>
      <c r="J97" s="44">
        <f t="shared" si="11"/>
        <v>0</v>
      </c>
      <c r="K97" s="48" t="s">
        <v>125</v>
      </c>
      <c r="L97" s="48"/>
    </row>
    <row r="98" spans="1:12" s="1" customFormat="1" ht="38.25" customHeight="1" x14ac:dyDescent="0.25">
      <c r="A98" s="40" t="s">
        <v>126</v>
      </c>
      <c r="B98" s="40"/>
      <c r="C98" s="41">
        <v>750000</v>
      </c>
      <c r="D98" s="25">
        <v>0</v>
      </c>
      <c r="E98" s="42">
        <v>68972</v>
      </c>
      <c r="F98" s="42"/>
      <c r="G98" s="42"/>
      <c r="H98" s="42"/>
      <c r="I98" s="43">
        <f t="shared" si="10"/>
        <v>68972</v>
      </c>
      <c r="J98" s="44">
        <f t="shared" si="11"/>
        <v>9.1962666666666665E-2</v>
      </c>
      <c r="K98" s="48" t="s">
        <v>38</v>
      </c>
      <c r="L98" s="49"/>
    </row>
    <row r="99" spans="1:12" s="1" customFormat="1" ht="30" customHeight="1" x14ac:dyDescent="0.25">
      <c r="A99" s="40" t="s">
        <v>127</v>
      </c>
      <c r="B99" s="40"/>
      <c r="C99" s="47">
        <f>7028392-3000000</f>
        <v>4028392</v>
      </c>
      <c r="D99" s="25">
        <v>0</v>
      </c>
      <c r="E99" s="42">
        <v>544933</v>
      </c>
      <c r="F99" s="42"/>
      <c r="G99" s="42"/>
      <c r="H99" s="42"/>
      <c r="I99" s="43">
        <f t="shared" si="10"/>
        <v>544933</v>
      </c>
      <c r="J99" s="44">
        <f t="shared" si="11"/>
        <v>0.13527308166633237</v>
      </c>
      <c r="K99" s="48" t="s">
        <v>38</v>
      </c>
      <c r="L99" s="49"/>
    </row>
    <row r="100" spans="1:12" s="1" customFormat="1" ht="36" customHeight="1" x14ac:dyDescent="0.25">
      <c r="A100" s="40" t="s">
        <v>128</v>
      </c>
      <c r="B100" s="40"/>
      <c r="C100" s="47">
        <f>12401944-9857000</f>
        <v>2544944</v>
      </c>
      <c r="D100" s="25">
        <v>0</v>
      </c>
      <c r="E100" s="42">
        <v>285720</v>
      </c>
      <c r="F100" s="42"/>
      <c r="G100" s="42"/>
      <c r="H100" s="42"/>
      <c r="I100" s="43">
        <f t="shared" si="10"/>
        <v>285720</v>
      </c>
      <c r="J100" s="44">
        <f t="shared" si="11"/>
        <v>0.11226966094342351</v>
      </c>
      <c r="K100" s="48" t="s">
        <v>38</v>
      </c>
      <c r="L100" s="49"/>
    </row>
    <row r="101" spans="1:12" s="1" customFormat="1" ht="51.75" customHeight="1" x14ac:dyDescent="0.25">
      <c r="A101" s="40" t="s">
        <v>129</v>
      </c>
      <c r="B101" s="40"/>
      <c r="C101" s="47">
        <f>311000-295000</f>
        <v>16000</v>
      </c>
      <c r="D101" s="25">
        <v>0</v>
      </c>
      <c r="E101" s="42">
        <v>0</v>
      </c>
      <c r="F101" s="42"/>
      <c r="G101" s="42"/>
      <c r="H101" s="42"/>
      <c r="I101" s="43">
        <f t="shared" si="10"/>
        <v>0</v>
      </c>
      <c r="J101" s="44">
        <f t="shared" si="11"/>
        <v>0</v>
      </c>
      <c r="K101" s="48" t="s">
        <v>130</v>
      </c>
      <c r="L101" s="49"/>
    </row>
    <row r="102" spans="1:12" s="1" customFormat="1" ht="39" customHeight="1" x14ac:dyDescent="0.25">
      <c r="A102" s="40" t="s">
        <v>131</v>
      </c>
      <c r="B102" s="40"/>
      <c r="C102" s="61">
        <f>1774000-1494000</f>
        <v>280000</v>
      </c>
      <c r="D102" s="25">
        <v>0</v>
      </c>
      <c r="E102" s="42">
        <v>0</v>
      </c>
      <c r="F102" s="42"/>
      <c r="G102" s="42"/>
      <c r="H102" s="42"/>
      <c r="I102" s="43">
        <f t="shared" si="10"/>
        <v>0</v>
      </c>
      <c r="J102" s="44">
        <f t="shared" si="11"/>
        <v>0</v>
      </c>
      <c r="K102" s="48" t="s">
        <v>42</v>
      </c>
      <c r="L102" s="48"/>
    </row>
    <row r="103" spans="1:12" s="1" customFormat="1" ht="36" customHeight="1" x14ac:dyDescent="0.25">
      <c r="A103" s="40" t="s">
        <v>132</v>
      </c>
      <c r="B103" s="40"/>
      <c r="C103" s="41">
        <v>300000</v>
      </c>
      <c r="D103" s="25">
        <v>0</v>
      </c>
      <c r="E103" s="42">
        <v>0</v>
      </c>
      <c r="F103" s="42"/>
      <c r="G103" s="42"/>
      <c r="H103" s="42"/>
      <c r="I103" s="43">
        <f t="shared" si="10"/>
        <v>0</v>
      </c>
      <c r="J103" s="44">
        <f t="shared" si="11"/>
        <v>0</v>
      </c>
      <c r="K103" s="48" t="s">
        <v>133</v>
      </c>
      <c r="L103" s="49"/>
    </row>
    <row r="104" spans="1:12" s="1" customFormat="1" ht="36" customHeight="1" x14ac:dyDescent="0.25">
      <c r="A104" s="40" t="s">
        <v>134</v>
      </c>
      <c r="B104" s="40"/>
      <c r="C104" s="61">
        <f>6400000-6000000</f>
        <v>400000</v>
      </c>
      <c r="D104" s="25">
        <v>0</v>
      </c>
      <c r="E104" s="42">
        <v>0</v>
      </c>
      <c r="F104" s="42"/>
      <c r="G104" s="42"/>
      <c r="H104" s="42"/>
      <c r="I104" s="43">
        <f t="shared" si="10"/>
        <v>0</v>
      </c>
      <c r="J104" s="44">
        <f t="shared" si="11"/>
        <v>0</v>
      </c>
      <c r="K104" s="48" t="s">
        <v>42</v>
      </c>
      <c r="L104" s="48"/>
    </row>
    <row r="105" spans="1:12" s="1" customFormat="1" ht="36" customHeight="1" x14ac:dyDescent="0.25">
      <c r="A105" s="40" t="s">
        <v>135</v>
      </c>
      <c r="B105" s="40"/>
      <c r="C105" s="47">
        <f>4256510-4025510</f>
        <v>231000</v>
      </c>
      <c r="D105" s="25">
        <v>0</v>
      </c>
      <c r="E105" s="42">
        <v>0</v>
      </c>
      <c r="F105" s="42"/>
      <c r="G105" s="42"/>
      <c r="H105" s="42"/>
      <c r="I105" s="43">
        <f t="shared" si="10"/>
        <v>0</v>
      </c>
      <c r="J105" s="44">
        <f t="shared" si="11"/>
        <v>0</v>
      </c>
      <c r="K105" s="48" t="s">
        <v>42</v>
      </c>
      <c r="L105" s="48"/>
    </row>
    <row r="106" spans="1:12" s="1" customFormat="1" ht="27.75" customHeight="1" x14ac:dyDescent="0.25">
      <c r="A106" s="40" t="s">
        <v>136</v>
      </c>
      <c r="B106" s="40"/>
      <c r="C106" s="47">
        <f>4607000-4397000</f>
        <v>210000</v>
      </c>
      <c r="D106" s="25">
        <v>0</v>
      </c>
      <c r="E106" s="42">
        <v>0</v>
      </c>
      <c r="F106" s="42"/>
      <c r="G106" s="42"/>
      <c r="H106" s="42"/>
      <c r="I106" s="43">
        <f t="shared" si="10"/>
        <v>0</v>
      </c>
      <c r="J106" s="44">
        <f t="shared" si="11"/>
        <v>0</v>
      </c>
      <c r="K106" s="48" t="s">
        <v>42</v>
      </c>
      <c r="L106" s="48"/>
    </row>
    <row r="107" spans="1:12" s="1" customFormat="1" ht="34.5" customHeight="1" x14ac:dyDescent="0.25">
      <c r="A107" s="40" t="s">
        <v>137</v>
      </c>
      <c r="B107" s="40"/>
      <c r="C107" s="61">
        <f>5953000-5640000</f>
        <v>313000</v>
      </c>
      <c r="D107" s="25">
        <v>0</v>
      </c>
      <c r="E107" s="42">
        <v>0</v>
      </c>
      <c r="F107" s="42"/>
      <c r="G107" s="42"/>
      <c r="H107" s="42"/>
      <c r="I107" s="43">
        <f t="shared" si="10"/>
        <v>0</v>
      </c>
      <c r="J107" s="44">
        <f t="shared" si="11"/>
        <v>0</v>
      </c>
      <c r="K107" s="48" t="s">
        <v>42</v>
      </c>
      <c r="L107" s="48"/>
    </row>
    <row r="108" spans="1:12" s="1" customFormat="1" ht="37.5" customHeight="1" x14ac:dyDescent="0.25">
      <c r="A108" s="40" t="s">
        <v>138</v>
      </c>
      <c r="B108" s="40"/>
      <c r="C108" s="61">
        <f>14033000-12733000</f>
        <v>1300000</v>
      </c>
      <c r="D108" s="25">
        <v>0</v>
      </c>
      <c r="E108" s="42">
        <v>0</v>
      </c>
      <c r="F108" s="42"/>
      <c r="G108" s="42"/>
      <c r="H108" s="42"/>
      <c r="I108" s="43">
        <f t="shared" si="10"/>
        <v>0</v>
      </c>
      <c r="J108" s="44">
        <f t="shared" si="11"/>
        <v>0</v>
      </c>
      <c r="K108" s="48" t="s">
        <v>42</v>
      </c>
      <c r="L108" s="48"/>
    </row>
    <row r="109" spans="1:12" s="1" customFormat="1" ht="40.5" customHeight="1" x14ac:dyDescent="0.25">
      <c r="A109" s="40" t="s">
        <v>139</v>
      </c>
      <c r="B109" s="40"/>
      <c r="C109" s="47">
        <f>15967000-13967000</f>
        <v>2000000</v>
      </c>
      <c r="D109" s="25">
        <v>0</v>
      </c>
      <c r="E109" s="42">
        <v>0</v>
      </c>
      <c r="F109" s="42"/>
      <c r="G109" s="42"/>
      <c r="H109" s="42"/>
      <c r="I109" s="43">
        <f t="shared" si="10"/>
        <v>0</v>
      </c>
      <c r="J109" s="44">
        <f t="shared" si="11"/>
        <v>0</v>
      </c>
      <c r="K109" s="48" t="s">
        <v>42</v>
      </c>
      <c r="L109" s="48"/>
    </row>
    <row r="110" spans="1:12" s="1" customFormat="1" ht="52.5" customHeight="1" x14ac:dyDescent="0.25">
      <c r="A110" s="40" t="s">
        <v>140</v>
      </c>
      <c r="B110" s="40"/>
      <c r="C110" s="47">
        <f>925228+24132-(674870+21719)</f>
        <v>252771</v>
      </c>
      <c r="D110" s="25">
        <v>0</v>
      </c>
      <c r="E110" s="42">
        <v>55844</v>
      </c>
      <c r="F110" s="42"/>
      <c r="G110" s="42"/>
      <c r="H110" s="42"/>
      <c r="I110" s="43">
        <f t="shared" si="10"/>
        <v>55844</v>
      </c>
      <c r="J110" s="44">
        <f t="shared" si="11"/>
        <v>0.22092724244474246</v>
      </c>
      <c r="K110" s="48" t="s">
        <v>38</v>
      </c>
      <c r="L110" s="49"/>
    </row>
    <row r="111" spans="1:12" s="1" customFormat="1" ht="36" customHeight="1" x14ac:dyDescent="0.25">
      <c r="A111" s="40" t="s">
        <v>141</v>
      </c>
      <c r="B111" s="40"/>
      <c r="C111" s="47">
        <f>8954759+951370+1834322+20764+41528+103820+30016-(6294782+883870+1745822+19726+39452+98630+30016)</f>
        <v>2824281</v>
      </c>
      <c r="D111" s="25">
        <v>0</v>
      </c>
      <c r="E111" s="42">
        <v>467681</v>
      </c>
      <c r="F111" s="42"/>
      <c r="G111" s="42"/>
      <c r="H111" s="42"/>
      <c r="I111" s="43">
        <f t="shared" si="10"/>
        <v>467681</v>
      </c>
      <c r="J111" s="44">
        <f t="shared" si="11"/>
        <v>0.16559294206206818</v>
      </c>
      <c r="K111" s="48" t="s">
        <v>38</v>
      </c>
      <c r="L111" s="49"/>
    </row>
    <row r="112" spans="1:12" s="1" customFormat="1" ht="48" customHeight="1" x14ac:dyDescent="0.25">
      <c r="A112" s="40" t="s">
        <v>142</v>
      </c>
      <c r="B112" s="40"/>
      <c r="C112" s="47">
        <f>877195+115323+27409-(700275+115323+21700)+(904758+111714+22812-(665628+100543+20531))</f>
        <v>435211</v>
      </c>
      <c r="D112" s="25">
        <v>0</v>
      </c>
      <c r="E112" s="42">
        <v>76402</v>
      </c>
      <c r="F112" s="42"/>
      <c r="G112" s="42"/>
      <c r="H112" s="42"/>
      <c r="I112" s="43">
        <f t="shared" si="10"/>
        <v>76402</v>
      </c>
      <c r="J112" s="44">
        <f t="shared" si="11"/>
        <v>0.17555162897996604</v>
      </c>
      <c r="K112" s="48" t="s">
        <v>38</v>
      </c>
      <c r="L112" s="49"/>
    </row>
    <row r="113" spans="1:12" s="1" customFormat="1" ht="39" customHeight="1" x14ac:dyDescent="0.25">
      <c r="A113" s="52" t="s">
        <v>143</v>
      </c>
      <c r="B113" s="52"/>
      <c r="C113" s="41">
        <v>800000</v>
      </c>
      <c r="D113" s="25">
        <v>0</v>
      </c>
      <c r="E113" s="42">
        <v>0</v>
      </c>
      <c r="F113" s="42"/>
      <c r="G113" s="42"/>
      <c r="H113" s="42"/>
      <c r="I113" s="43">
        <f t="shared" si="10"/>
        <v>0</v>
      </c>
      <c r="J113" s="44">
        <f t="shared" si="11"/>
        <v>0</v>
      </c>
      <c r="K113" s="48" t="s">
        <v>144</v>
      </c>
      <c r="L113" s="49"/>
    </row>
    <row r="114" spans="1:12" s="1" customFormat="1" ht="32.25" customHeight="1" x14ac:dyDescent="0.25">
      <c r="A114" s="52" t="s">
        <v>145</v>
      </c>
      <c r="B114" s="52"/>
      <c r="C114" s="41">
        <v>950000</v>
      </c>
      <c r="D114" s="25">
        <v>0</v>
      </c>
      <c r="E114" s="42">
        <v>0</v>
      </c>
      <c r="F114" s="42"/>
      <c r="G114" s="42"/>
      <c r="H114" s="42"/>
      <c r="I114" s="43">
        <f t="shared" si="10"/>
        <v>0</v>
      </c>
      <c r="J114" s="44">
        <f t="shared" si="11"/>
        <v>0</v>
      </c>
      <c r="K114" s="48" t="s">
        <v>144</v>
      </c>
      <c r="L114" s="49"/>
    </row>
    <row r="115" spans="1:12" s="1" customFormat="1" ht="32.25" customHeight="1" x14ac:dyDescent="0.25">
      <c r="A115" s="52" t="s">
        <v>146</v>
      </c>
      <c r="B115" s="52"/>
      <c r="C115" s="61">
        <f>700000-100000</f>
        <v>600000</v>
      </c>
      <c r="D115" s="25">
        <v>0</v>
      </c>
      <c r="E115" s="42">
        <v>0</v>
      </c>
      <c r="F115" s="42"/>
      <c r="G115" s="42"/>
      <c r="H115" s="42"/>
      <c r="I115" s="43">
        <f t="shared" si="10"/>
        <v>0</v>
      </c>
      <c r="J115" s="44">
        <f t="shared" si="11"/>
        <v>0</v>
      </c>
      <c r="K115" s="48" t="s">
        <v>144</v>
      </c>
      <c r="L115" s="49"/>
    </row>
    <row r="116" spans="1:12" s="1" customFormat="1" ht="39" customHeight="1" x14ac:dyDescent="0.25">
      <c r="A116" s="52" t="s">
        <v>147</v>
      </c>
      <c r="B116" s="52"/>
      <c r="C116" s="41">
        <v>300000</v>
      </c>
      <c r="D116" s="25">
        <v>0</v>
      </c>
      <c r="E116" s="42">
        <v>0</v>
      </c>
      <c r="F116" s="42"/>
      <c r="G116" s="42"/>
      <c r="H116" s="42"/>
      <c r="I116" s="43">
        <f t="shared" si="10"/>
        <v>0</v>
      </c>
      <c r="J116" s="44">
        <f t="shared" si="11"/>
        <v>0</v>
      </c>
      <c r="K116" s="48" t="s">
        <v>148</v>
      </c>
      <c r="L116" s="49"/>
    </row>
    <row r="117" spans="1:12" s="1" customFormat="1" ht="39" customHeight="1" x14ac:dyDescent="0.25">
      <c r="A117" s="52" t="s">
        <v>149</v>
      </c>
      <c r="B117" s="52"/>
      <c r="C117" s="58">
        <f>34000+124000</f>
        <v>158000</v>
      </c>
      <c r="D117" s="25">
        <v>0</v>
      </c>
      <c r="E117" s="42">
        <v>0</v>
      </c>
      <c r="F117" s="42"/>
      <c r="G117" s="42"/>
      <c r="H117" s="42"/>
      <c r="I117" s="43">
        <f t="shared" si="10"/>
        <v>0</v>
      </c>
      <c r="J117" s="44">
        <f t="shared" si="11"/>
        <v>0</v>
      </c>
      <c r="K117" s="48" t="s">
        <v>148</v>
      </c>
      <c r="L117" s="49"/>
    </row>
    <row r="118" spans="1:12" s="1" customFormat="1" ht="18.75" customHeight="1" x14ac:dyDescent="0.25">
      <c r="A118" s="53" t="s">
        <v>79</v>
      </c>
      <c r="B118" s="53"/>
      <c r="C118" s="54">
        <f>SUM(C91:C117)</f>
        <v>35287475</v>
      </c>
      <c r="D118" s="54">
        <f t="shared" ref="D118:I118" si="12">SUM(D91:D117)</f>
        <v>0</v>
      </c>
      <c r="E118" s="54">
        <f t="shared" si="12"/>
        <v>2085007</v>
      </c>
      <c r="F118" s="54">
        <f t="shared" si="12"/>
        <v>0</v>
      </c>
      <c r="G118" s="54">
        <f t="shared" si="12"/>
        <v>0</v>
      </c>
      <c r="H118" s="54">
        <f t="shared" si="12"/>
        <v>0</v>
      </c>
      <c r="I118" s="54">
        <f t="shared" si="12"/>
        <v>2085007</v>
      </c>
      <c r="J118" s="55">
        <f t="shared" si="11"/>
        <v>5.9086318870930833E-2</v>
      </c>
      <c r="K118" s="56"/>
      <c r="L118" s="57"/>
    </row>
    <row r="119" spans="1:12" s="1" customFormat="1" ht="21.75" customHeight="1" x14ac:dyDescent="0.25">
      <c r="A119" s="36" t="s">
        <v>150</v>
      </c>
      <c r="B119" s="36"/>
      <c r="C119" s="37"/>
      <c r="D119" s="38"/>
      <c r="E119" s="38"/>
      <c r="F119" s="38"/>
      <c r="G119" s="38"/>
      <c r="H119" s="38"/>
      <c r="I119" s="38"/>
      <c r="J119" s="38"/>
      <c r="K119" s="39"/>
      <c r="L119" s="39"/>
    </row>
    <row r="120" spans="1:12" s="1" customFormat="1" ht="32.25" customHeight="1" x14ac:dyDescent="0.25">
      <c r="A120" s="40" t="s">
        <v>151</v>
      </c>
      <c r="B120" s="40"/>
      <c r="C120" s="58">
        <f>889541+300000</f>
        <v>1189541</v>
      </c>
      <c r="D120" s="25">
        <v>0</v>
      </c>
      <c r="E120" s="42">
        <v>290846</v>
      </c>
      <c r="F120" s="42"/>
      <c r="G120" s="42"/>
      <c r="H120" s="42"/>
      <c r="I120" s="43">
        <f t="shared" ref="I120:I132" si="13">SUM(E120:H120)</f>
        <v>290846</v>
      </c>
      <c r="J120" s="44">
        <f t="shared" ref="J120:J132" si="14">IFERROR((I120/(C120+D120)),0)</f>
        <v>0.24450271155008529</v>
      </c>
      <c r="K120" s="48" t="s">
        <v>38</v>
      </c>
      <c r="L120" s="49"/>
    </row>
    <row r="121" spans="1:12" s="1" customFormat="1" ht="32.25" customHeight="1" x14ac:dyDescent="0.25">
      <c r="A121" s="40" t="s">
        <v>152</v>
      </c>
      <c r="B121" s="40"/>
      <c r="C121" s="58">
        <f>859440+600000</f>
        <v>1459440</v>
      </c>
      <c r="D121" s="25">
        <v>0</v>
      </c>
      <c r="E121" s="42">
        <v>401093</v>
      </c>
      <c r="F121" s="42"/>
      <c r="G121" s="42"/>
      <c r="H121" s="42"/>
      <c r="I121" s="43">
        <f t="shared" si="13"/>
        <v>401093</v>
      </c>
      <c r="J121" s="44">
        <f t="shared" si="14"/>
        <v>0.27482664583675931</v>
      </c>
      <c r="K121" s="48" t="s">
        <v>38</v>
      </c>
      <c r="L121" s="49"/>
    </row>
    <row r="122" spans="1:12" s="1" customFormat="1" ht="32.25" customHeight="1" x14ac:dyDescent="0.25">
      <c r="A122" s="40" t="s">
        <v>153</v>
      </c>
      <c r="B122" s="40"/>
      <c r="C122" s="41">
        <v>600000</v>
      </c>
      <c r="D122" s="25">
        <v>0</v>
      </c>
      <c r="E122" s="42">
        <v>25182</v>
      </c>
      <c r="F122" s="42"/>
      <c r="G122" s="42"/>
      <c r="H122" s="42"/>
      <c r="I122" s="43">
        <f t="shared" si="13"/>
        <v>25182</v>
      </c>
      <c r="J122" s="44">
        <f t="shared" si="14"/>
        <v>4.197E-2</v>
      </c>
      <c r="K122" s="48" t="s">
        <v>38</v>
      </c>
      <c r="L122" s="49"/>
    </row>
    <row r="123" spans="1:12" s="1" customFormat="1" ht="27" customHeight="1" x14ac:dyDescent="0.25">
      <c r="A123" s="40" t="s">
        <v>154</v>
      </c>
      <c r="B123" s="40"/>
      <c r="C123" s="47">
        <f>1133940+959585-(938623+860000)</f>
        <v>294902</v>
      </c>
      <c r="D123" s="25">
        <v>0</v>
      </c>
      <c r="E123" s="42">
        <v>29100</v>
      </c>
      <c r="F123" s="42"/>
      <c r="G123" s="42"/>
      <c r="H123" s="42"/>
      <c r="I123" s="43">
        <f t="shared" si="13"/>
        <v>29100</v>
      </c>
      <c r="J123" s="44">
        <f t="shared" si="14"/>
        <v>9.8676848580206311E-2</v>
      </c>
      <c r="K123" s="48" t="s">
        <v>38</v>
      </c>
      <c r="L123" s="49"/>
    </row>
    <row r="124" spans="1:12" s="1" customFormat="1" ht="32.25" customHeight="1" x14ac:dyDescent="0.25">
      <c r="A124" s="40" t="s">
        <v>155</v>
      </c>
      <c r="B124" s="40"/>
      <c r="C124" s="61">
        <f>1138784-960623</f>
        <v>178161</v>
      </c>
      <c r="D124" s="25">
        <v>0</v>
      </c>
      <c r="E124" s="42">
        <v>28364</v>
      </c>
      <c r="F124" s="42"/>
      <c r="G124" s="42"/>
      <c r="H124" s="42"/>
      <c r="I124" s="43">
        <f t="shared" si="13"/>
        <v>28364</v>
      </c>
      <c r="J124" s="44">
        <f t="shared" si="14"/>
        <v>0.1592043151980512</v>
      </c>
      <c r="K124" s="48" t="s">
        <v>38</v>
      </c>
      <c r="L124" s="49"/>
    </row>
    <row r="125" spans="1:12" s="1" customFormat="1" ht="32.25" customHeight="1" x14ac:dyDescent="0.25">
      <c r="A125" s="40" t="s">
        <v>156</v>
      </c>
      <c r="B125" s="40"/>
      <c r="C125" s="61">
        <f>1451832-1040000</f>
        <v>411832</v>
      </c>
      <c r="D125" s="25">
        <v>0</v>
      </c>
      <c r="E125" s="42">
        <v>57057</v>
      </c>
      <c r="F125" s="42"/>
      <c r="G125" s="42"/>
      <c r="H125" s="42"/>
      <c r="I125" s="43">
        <f t="shared" si="13"/>
        <v>57057</v>
      </c>
      <c r="J125" s="44">
        <f t="shared" si="14"/>
        <v>0.13854435789350997</v>
      </c>
      <c r="K125" s="48" t="s">
        <v>38</v>
      </c>
      <c r="L125" s="49"/>
    </row>
    <row r="126" spans="1:12" s="1" customFormat="1" ht="32.25" customHeight="1" x14ac:dyDescent="0.25">
      <c r="A126" s="40" t="s">
        <v>157</v>
      </c>
      <c r="B126" s="40"/>
      <c r="C126" s="41">
        <v>250000</v>
      </c>
      <c r="D126" s="25">
        <v>0</v>
      </c>
      <c r="E126" s="42">
        <v>0</v>
      </c>
      <c r="F126" s="42"/>
      <c r="G126" s="42"/>
      <c r="H126" s="42"/>
      <c r="I126" s="43">
        <f t="shared" si="13"/>
        <v>0</v>
      </c>
      <c r="J126" s="44">
        <f t="shared" si="14"/>
        <v>0</v>
      </c>
      <c r="K126" s="48" t="s">
        <v>56</v>
      </c>
      <c r="L126" s="49"/>
    </row>
    <row r="127" spans="1:12" s="1" customFormat="1" ht="32.25" customHeight="1" x14ac:dyDescent="0.25">
      <c r="A127" s="40" t="s">
        <v>158</v>
      </c>
      <c r="B127" s="40"/>
      <c r="C127" s="41">
        <v>418760</v>
      </c>
      <c r="D127" s="25">
        <v>0</v>
      </c>
      <c r="E127" s="42">
        <v>0</v>
      </c>
      <c r="F127" s="42"/>
      <c r="G127" s="42"/>
      <c r="H127" s="42"/>
      <c r="I127" s="43">
        <f t="shared" si="13"/>
        <v>0</v>
      </c>
      <c r="J127" s="44">
        <f t="shared" si="14"/>
        <v>0</v>
      </c>
      <c r="K127" s="48" t="s">
        <v>111</v>
      </c>
      <c r="L127" s="49"/>
    </row>
    <row r="128" spans="1:12" s="1" customFormat="1" ht="42" customHeight="1" x14ac:dyDescent="0.25">
      <c r="A128" s="40" t="s">
        <v>159</v>
      </c>
      <c r="B128" s="40"/>
      <c r="C128" s="41">
        <v>400000</v>
      </c>
      <c r="D128" s="25">
        <v>0</v>
      </c>
      <c r="E128" s="42">
        <v>0</v>
      </c>
      <c r="F128" s="42"/>
      <c r="G128" s="42"/>
      <c r="H128" s="42"/>
      <c r="I128" s="43">
        <f t="shared" si="13"/>
        <v>0</v>
      </c>
      <c r="J128" s="44">
        <f t="shared" si="14"/>
        <v>0</v>
      </c>
      <c r="K128" s="48" t="s">
        <v>54</v>
      </c>
      <c r="L128" s="49"/>
    </row>
    <row r="129" spans="1:12" s="1" customFormat="1" ht="31.5" customHeight="1" x14ac:dyDescent="0.25">
      <c r="A129" s="40" t="s">
        <v>160</v>
      </c>
      <c r="B129" s="40"/>
      <c r="C129" s="61">
        <f>895602+1075250-(675881+967725)</f>
        <v>327246</v>
      </c>
      <c r="D129" s="25">
        <v>0</v>
      </c>
      <c r="E129" s="42">
        <v>33545</v>
      </c>
      <c r="F129" s="42"/>
      <c r="G129" s="42"/>
      <c r="H129" s="42"/>
      <c r="I129" s="43">
        <f t="shared" si="13"/>
        <v>33545</v>
      </c>
      <c r="J129" s="44">
        <f t="shared" si="14"/>
        <v>0.10250698251468314</v>
      </c>
      <c r="K129" s="48" t="s">
        <v>38</v>
      </c>
      <c r="L129" s="49"/>
    </row>
    <row r="130" spans="1:12" s="1" customFormat="1" ht="51.75" customHeight="1" x14ac:dyDescent="0.25">
      <c r="A130" s="40" t="s">
        <v>161</v>
      </c>
      <c r="B130" s="40"/>
      <c r="C130" s="47">
        <f>5675342+147408-(4326604+129470)</f>
        <v>1366676</v>
      </c>
      <c r="D130" s="25">
        <v>0</v>
      </c>
      <c r="E130" s="42">
        <v>297780</v>
      </c>
      <c r="F130" s="42"/>
      <c r="G130" s="42"/>
      <c r="H130" s="42"/>
      <c r="I130" s="43">
        <f t="shared" si="13"/>
        <v>297780</v>
      </c>
      <c r="J130" s="44">
        <f t="shared" si="14"/>
        <v>0.21788631687393353</v>
      </c>
      <c r="K130" s="48" t="s">
        <v>38</v>
      </c>
      <c r="L130" s="49"/>
    </row>
    <row r="131" spans="1:12" s="1" customFormat="1" ht="50.25" customHeight="1" x14ac:dyDescent="0.25">
      <c r="A131" s="40" t="s">
        <v>162</v>
      </c>
      <c r="B131" s="40"/>
      <c r="C131" s="47">
        <f>1130286+30613-(885108+27552)</f>
        <v>248239</v>
      </c>
      <c r="D131" s="25">
        <v>0</v>
      </c>
      <c r="E131" s="42">
        <v>56177</v>
      </c>
      <c r="F131" s="42"/>
      <c r="G131" s="42"/>
      <c r="H131" s="42"/>
      <c r="I131" s="43">
        <f t="shared" si="13"/>
        <v>56177</v>
      </c>
      <c r="J131" s="44">
        <f t="shared" si="14"/>
        <v>0.22630207179371492</v>
      </c>
      <c r="K131" s="48" t="s">
        <v>38</v>
      </c>
      <c r="L131" s="49"/>
    </row>
    <row r="132" spans="1:12" s="1" customFormat="1" ht="47.25" customHeight="1" x14ac:dyDescent="0.25">
      <c r="A132" s="40" t="s">
        <v>163</v>
      </c>
      <c r="B132" s="40"/>
      <c r="C132" s="47">
        <f>1023733+27147-(755722+23393)</f>
        <v>271765</v>
      </c>
      <c r="D132" s="25">
        <v>0</v>
      </c>
      <c r="E132" s="42">
        <v>61677</v>
      </c>
      <c r="F132" s="42"/>
      <c r="G132" s="42"/>
      <c r="H132" s="42"/>
      <c r="I132" s="43">
        <f t="shared" si="13"/>
        <v>61677</v>
      </c>
      <c r="J132" s="44">
        <f t="shared" si="14"/>
        <v>0.22694975438338269</v>
      </c>
      <c r="K132" s="48" t="s">
        <v>38</v>
      </c>
      <c r="L132" s="49"/>
    </row>
    <row r="133" spans="1:12" s="1" customFormat="1" ht="18.75" customHeight="1" x14ac:dyDescent="0.25">
      <c r="A133" s="53" t="s">
        <v>79</v>
      </c>
      <c r="B133" s="53"/>
      <c r="C133" s="54">
        <f>SUM(C120:C132)</f>
        <v>7416562</v>
      </c>
      <c r="D133" s="54">
        <f t="shared" ref="D133:I133" si="15">SUM(D120:D132)</f>
        <v>0</v>
      </c>
      <c r="E133" s="54">
        <f t="shared" si="15"/>
        <v>1280821</v>
      </c>
      <c r="F133" s="54">
        <f t="shared" si="15"/>
        <v>0</v>
      </c>
      <c r="G133" s="54">
        <f t="shared" si="15"/>
        <v>0</v>
      </c>
      <c r="H133" s="54">
        <f t="shared" si="15"/>
        <v>0</v>
      </c>
      <c r="I133" s="54">
        <f t="shared" si="15"/>
        <v>1280821</v>
      </c>
      <c r="J133" s="55">
        <f t="shared" si="11"/>
        <v>0.17269740345998591</v>
      </c>
      <c r="K133" s="56"/>
      <c r="L133" s="57"/>
    </row>
    <row r="134" spans="1:12" s="1" customFormat="1" ht="21.75" customHeight="1" x14ac:dyDescent="0.25">
      <c r="A134" s="36" t="s">
        <v>164</v>
      </c>
      <c r="B134" s="36"/>
      <c r="C134" s="37"/>
      <c r="D134" s="38"/>
      <c r="E134" s="38"/>
      <c r="F134" s="38"/>
      <c r="G134" s="38"/>
      <c r="H134" s="38"/>
      <c r="I134" s="38"/>
      <c r="J134" s="38"/>
      <c r="K134" s="39"/>
      <c r="L134" s="39"/>
    </row>
    <row r="135" spans="1:12" s="1" customFormat="1" ht="38.25" customHeight="1" x14ac:dyDescent="0.25">
      <c r="A135" s="40" t="s">
        <v>165</v>
      </c>
      <c r="B135" s="40"/>
      <c r="C135" s="41">
        <v>1884960</v>
      </c>
      <c r="D135" s="25">
        <v>0</v>
      </c>
      <c r="E135" s="42">
        <v>0</v>
      </c>
      <c r="F135" s="42"/>
      <c r="G135" s="42"/>
      <c r="H135" s="42"/>
      <c r="I135" s="43">
        <f t="shared" ref="I135:I155" si="16">SUM(E135:H135)</f>
        <v>0</v>
      </c>
      <c r="J135" s="44">
        <f t="shared" ref="J135:J156" si="17">IFERROR((I135/(C135+D135)),0)</f>
        <v>0</v>
      </c>
      <c r="K135" s="48" t="s">
        <v>54</v>
      </c>
      <c r="L135" s="49"/>
    </row>
    <row r="136" spans="1:12" s="1" customFormat="1" ht="48" customHeight="1" x14ac:dyDescent="0.25">
      <c r="A136" s="40" t="s">
        <v>166</v>
      </c>
      <c r="B136" s="40"/>
      <c r="C136" s="41">
        <v>150000</v>
      </c>
      <c r="D136" s="25">
        <v>0</v>
      </c>
      <c r="E136" s="42">
        <v>38973</v>
      </c>
      <c r="F136" s="42"/>
      <c r="G136" s="42"/>
      <c r="H136" s="42"/>
      <c r="I136" s="43">
        <f t="shared" si="16"/>
        <v>38973</v>
      </c>
      <c r="J136" s="44">
        <f t="shared" si="17"/>
        <v>0.25982</v>
      </c>
      <c r="K136" s="48" t="s">
        <v>38</v>
      </c>
      <c r="L136" s="49"/>
    </row>
    <row r="137" spans="1:12" s="1" customFormat="1" ht="33.75" customHeight="1" x14ac:dyDescent="0.25">
      <c r="A137" s="40" t="s">
        <v>167</v>
      </c>
      <c r="B137" s="40"/>
      <c r="C137" s="41">
        <v>160000</v>
      </c>
      <c r="D137" s="25">
        <v>0</v>
      </c>
      <c r="E137" s="42">
        <v>0</v>
      </c>
      <c r="F137" s="42"/>
      <c r="G137" s="42"/>
      <c r="H137" s="42"/>
      <c r="I137" s="43">
        <f t="shared" si="16"/>
        <v>0</v>
      </c>
      <c r="J137" s="44">
        <f t="shared" si="17"/>
        <v>0</v>
      </c>
      <c r="K137" s="45" t="s">
        <v>168</v>
      </c>
      <c r="L137" s="46"/>
    </row>
    <row r="138" spans="1:12" s="1" customFormat="1" ht="35.25" customHeight="1" x14ac:dyDescent="0.25">
      <c r="A138" s="40" t="s">
        <v>169</v>
      </c>
      <c r="B138" s="40"/>
      <c r="C138" s="41">
        <v>380000</v>
      </c>
      <c r="D138" s="25">
        <v>0</v>
      </c>
      <c r="E138" s="42">
        <v>0</v>
      </c>
      <c r="F138" s="42"/>
      <c r="G138" s="42"/>
      <c r="H138" s="42"/>
      <c r="I138" s="43">
        <f t="shared" si="16"/>
        <v>0</v>
      </c>
      <c r="J138" s="44">
        <f t="shared" si="17"/>
        <v>0</v>
      </c>
      <c r="K138" s="48" t="s">
        <v>170</v>
      </c>
      <c r="L138" s="49"/>
    </row>
    <row r="139" spans="1:12" s="1" customFormat="1" ht="37.5" customHeight="1" x14ac:dyDescent="0.25">
      <c r="A139" s="40" t="s">
        <v>171</v>
      </c>
      <c r="B139" s="40"/>
      <c r="C139" s="58">
        <f>2000000+50000</f>
        <v>2050000</v>
      </c>
      <c r="D139" s="25">
        <v>0</v>
      </c>
      <c r="E139" s="42">
        <v>0</v>
      </c>
      <c r="F139" s="42"/>
      <c r="G139" s="42"/>
      <c r="H139" s="42"/>
      <c r="I139" s="43">
        <f t="shared" si="16"/>
        <v>0</v>
      </c>
      <c r="J139" s="44">
        <f t="shared" si="17"/>
        <v>0</v>
      </c>
      <c r="K139" s="48" t="s">
        <v>47</v>
      </c>
      <c r="L139" s="49"/>
    </row>
    <row r="140" spans="1:12" s="1" customFormat="1" ht="36" customHeight="1" x14ac:dyDescent="0.25">
      <c r="A140" s="40" t="s">
        <v>172</v>
      </c>
      <c r="B140" s="40"/>
      <c r="C140" s="41">
        <v>2008000</v>
      </c>
      <c r="D140" s="25">
        <v>0</v>
      </c>
      <c r="E140" s="42">
        <v>502124</v>
      </c>
      <c r="F140" s="42"/>
      <c r="G140" s="42"/>
      <c r="H140" s="42"/>
      <c r="I140" s="43">
        <f t="shared" si="16"/>
        <v>502124</v>
      </c>
      <c r="J140" s="44">
        <f t="shared" si="17"/>
        <v>0.25006175298804784</v>
      </c>
      <c r="K140" s="48" t="s">
        <v>38</v>
      </c>
      <c r="L140" s="49"/>
    </row>
    <row r="141" spans="1:12" s="1" customFormat="1" ht="29.25" customHeight="1" x14ac:dyDescent="0.25">
      <c r="A141" s="40" t="s">
        <v>173</v>
      </c>
      <c r="B141" s="40"/>
      <c r="C141" s="58">
        <f>830221+200000</f>
        <v>1030221</v>
      </c>
      <c r="D141" s="25">
        <v>0</v>
      </c>
      <c r="E141" s="42">
        <v>266479</v>
      </c>
      <c r="F141" s="42"/>
      <c r="G141" s="42"/>
      <c r="H141" s="42"/>
      <c r="I141" s="43">
        <f t="shared" si="16"/>
        <v>266479</v>
      </c>
      <c r="J141" s="44">
        <f t="shared" si="17"/>
        <v>0.25866197641088662</v>
      </c>
      <c r="K141" s="48" t="s">
        <v>38</v>
      </c>
      <c r="L141" s="49"/>
    </row>
    <row r="142" spans="1:12" s="1" customFormat="1" ht="43.5" customHeight="1" x14ac:dyDescent="0.25">
      <c r="A142" s="40" t="s">
        <v>174</v>
      </c>
      <c r="B142" s="40"/>
      <c r="C142" s="41">
        <v>600000</v>
      </c>
      <c r="D142" s="25">
        <v>0</v>
      </c>
      <c r="E142" s="42">
        <v>40000</v>
      </c>
      <c r="F142" s="42"/>
      <c r="G142" s="42"/>
      <c r="H142" s="42"/>
      <c r="I142" s="43">
        <f t="shared" si="16"/>
        <v>40000</v>
      </c>
      <c r="J142" s="44">
        <f t="shared" si="17"/>
        <v>6.6666666666666666E-2</v>
      </c>
      <c r="K142" s="48" t="s">
        <v>87</v>
      </c>
      <c r="L142" s="49"/>
    </row>
    <row r="143" spans="1:12" s="1" customFormat="1" ht="27" customHeight="1" x14ac:dyDescent="0.25">
      <c r="A143" s="40" t="s">
        <v>175</v>
      </c>
      <c r="B143" s="40"/>
      <c r="C143" s="58">
        <f>885126+400000</f>
        <v>1285126</v>
      </c>
      <c r="D143" s="25">
        <v>0</v>
      </c>
      <c r="E143" s="42">
        <v>289583</v>
      </c>
      <c r="F143" s="42"/>
      <c r="G143" s="42"/>
      <c r="H143" s="42"/>
      <c r="I143" s="43">
        <f t="shared" si="16"/>
        <v>289583</v>
      </c>
      <c r="J143" s="44">
        <f t="shared" si="17"/>
        <v>0.22533432519457236</v>
      </c>
      <c r="K143" s="48" t="s">
        <v>38</v>
      </c>
      <c r="L143" s="49"/>
    </row>
    <row r="144" spans="1:12" s="1" customFormat="1" ht="38.25" customHeight="1" x14ac:dyDescent="0.25">
      <c r="A144" s="40" t="s">
        <v>176</v>
      </c>
      <c r="B144" s="40"/>
      <c r="C144" s="58">
        <f>2100000+50000</f>
        <v>2150000</v>
      </c>
      <c r="D144" s="25">
        <v>0</v>
      </c>
      <c r="E144" s="42">
        <v>0</v>
      </c>
      <c r="F144" s="42"/>
      <c r="G144" s="42"/>
      <c r="H144" s="42"/>
      <c r="I144" s="43">
        <f t="shared" si="16"/>
        <v>0</v>
      </c>
      <c r="J144" s="44">
        <f t="shared" si="17"/>
        <v>0</v>
      </c>
      <c r="K144" s="48" t="s">
        <v>42</v>
      </c>
      <c r="L144" s="48"/>
    </row>
    <row r="145" spans="1:12" s="1" customFormat="1" ht="42.95" customHeight="1" x14ac:dyDescent="0.25">
      <c r="A145" s="40" t="s">
        <v>177</v>
      </c>
      <c r="B145" s="40"/>
      <c r="C145" s="41">
        <v>950000</v>
      </c>
      <c r="D145" s="25">
        <v>0</v>
      </c>
      <c r="E145" s="42">
        <v>0</v>
      </c>
      <c r="F145" s="42"/>
      <c r="G145" s="42"/>
      <c r="H145" s="42"/>
      <c r="I145" s="43">
        <f t="shared" si="16"/>
        <v>0</v>
      </c>
      <c r="J145" s="44">
        <f t="shared" si="17"/>
        <v>0</v>
      </c>
      <c r="K145" s="48" t="s">
        <v>178</v>
      </c>
      <c r="L145" s="49"/>
    </row>
    <row r="146" spans="1:12" s="1" customFormat="1" ht="38.25" customHeight="1" x14ac:dyDescent="0.25">
      <c r="A146" s="40" t="s">
        <v>179</v>
      </c>
      <c r="B146" s="46"/>
      <c r="C146" s="58">
        <f>2000000+6510000</f>
        <v>8510000</v>
      </c>
      <c r="D146" s="25">
        <v>0</v>
      </c>
      <c r="E146" s="42">
        <v>0</v>
      </c>
      <c r="F146" s="42"/>
      <c r="G146" s="42"/>
      <c r="H146" s="42"/>
      <c r="I146" s="43">
        <f t="shared" si="16"/>
        <v>0</v>
      </c>
      <c r="J146" s="44">
        <f t="shared" si="17"/>
        <v>0</v>
      </c>
      <c r="K146" s="48" t="s">
        <v>42</v>
      </c>
      <c r="L146" s="48"/>
    </row>
    <row r="147" spans="1:12" s="1" customFormat="1" ht="38.25" customHeight="1" x14ac:dyDescent="0.25">
      <c r="A147" s="40" t="s">
        <v>180</v>
      </c>
      <c r="B147" s="46"/>
      <c r="C147" s="41">
        <v>1000000</v>
      </c>
      <c r="D147" s="25">
        <v>0</v>
      </c>
      <c r="E147" s="42">
        <v>0</v>
      </c>
      <c r="F147" s="42"/>
      <c r="G147" s="42"/>
      <c r="H147" s="42"/>
      <c r="I147" s="43">
        <f t="shared" si="16"/>
        <v>0</v>
      </c>
      <c r="J147" s="44">
        <f t="shared" si="17"/>
        <v>0</v>
      </c>
      <c r="K147" s="48" t="s">
        <v>38</v>
      </c>
      <c r="L147" s="49"/>
    </row>
    <row r="148" spans="1:12" s="1" customFormat="1" ht="37.5" customHeight="1" x14ac:dyDescent="0.25">
      <c r="A148" s="40" t="s">
        <v>181</v>
      </c>
      <c r="B148" s="40"/>
      <c r="C148" s="47">
        <f>1024993-850000</f>
        <v>174993</v>
      </c>
      <c r="D148" s="25">
        <v>0</v>
      </c>
      <c r="E148" s="42">
        <v>21688</v>
      </c>
      <c r="F148" s="42"/>
      <c r="G148" s="42"/>
      <c r="H148" s="42"/>
      <c r="I148" s="43">
        <f t="shared" si="16"/>
        <v>21688</v>
      </c>
      <c r="J148" s="44">
        <f t="shared" si="17"/>
        <v>0.12393638602686964</v>
      </c>
      <c r="K148" s="48" t="s">
        <v>38</v>
      </c>
      <c r="L148" s="49"/>
    </row>
    <row r="149" spans="1:12" s="1" customFormat="1" ht="27.75" customHeight="1" x14ac:dyDescent="0.25">
      <c r="A149" s="40" t="s">
        <v>182</v>
      </c>
      <c r="B149" s="40"/>
      <c r="C149" s="41">
        <v>789116</v>
      </c>
      <c r="D149" s="25">
        <v>0</v>
      </c>
      <c r="E149" s="42">
        <v>247947</v>
      </c>
      <c r="F149" s="42"/>
      <c r="G149" s="42"/>
      <c r="H149" s="42"/>
      <c r="I149" s="43">
        <f t="shared" si="16"/>
        <v>247947</v>
      </c>
      <c r="J149" s="44">
        <f t="shared" si="17"/>
        <v>0.31420855742375015</v>
      </c>
      <c r="K149" s="48" t="s">
        <v>38</v>
      </c>
      <c r="L149" s="49"/>
    </row>
    <row r="150" spans="1:12" s="1" customFormat="1" ht="30" customHeight="1" x14ac:dyDescent="0.25">
      <c r="A150" s="40" t="s">
        <v>183</v>
      </c>
      <c r="B150" s="40"/>
      <c r="C150" s="41">
        <v>1872496</v>
      </c>
      <c r="D150" s="25">
        <v>0</v>
      </c>
      <c r="E150" s="42">
        <v>690000</v>
      </c>
      <c r="F150" s="42"/>
      <c r="G150" s="42"/>
      <c r="H150" s="42"/>
      <c r="I150" s="43">
        <f t="shared" si="16"/>
        <v>690000</v>
      </c>
      <c r="J150" s="44">
        <f t="shared" si="17"/>
        <v>0.36849210892840356</v>
      </c>
      <c r="K150" s="48" t="s">
        <v>38</v>
      </c>
      <c r="L150" s="49"/>
    </row>
    <row r="151" spans="1:12" s="1" customFormat="1" ht="31.5" customHeight="1" x14ac:dyDescent="0.25">
      <c r="A151" s="40" t="s">
        <v>184</v>
      </c>
      <c r="B151" s="40"/>
      <c r="C151" s="41">
        <v>90000</v>
      </c>
      <c r="D151" s="25">
        <v>0</v>
      </c>
      <c r="E151" s="42">
        <v>40000</v>
      </c>
      <c r="F151" s="42"/>
      <c r="G151" s="42"/>
      <c r="H151" s="42"/>
      <c r="I151" s="43">
        <f t="shared" si="16"/>
        <v>40000</v>
      </c>
      <c r="J151" s="44">
        <f t="shared" si="17"/>
        <v>0.44444444444444442</v>
      </c>
      <c r="K151" s="48" t="s">
        <v>38</v>
      </c>
      <c r="L151" s="49"/>
    </row>
    <row r="152" spans="1:12" s="1" customFormat="1" ht="31.5" customHeight="1" x14ac:dyDescent="0.25">
      <c r="A152" s="40" t="s">
        <v>185</v>
      </c>
      <c r="B152" s="40"/>
      <c r="C152" s="58">
        <v>160000</v>
      </c>
      <c r="D152" s="25">
        <v>0</v>
      </c>
      <c r="E152" s="42">
        <v>0</v>
      </c>
      <c r="F152" s="42"/>
      <c r="G152" s="42"/>
      <c r="H152" s="42"/>
      <c r="I152" s="43">
        <f t="shared" si="16"/>
        <v>0</v>
      </c>
      <c r="J152" s="44">
        <f t="shared" si="17"/>
        <v>0</v>
      </c>
      <c r="K152" s="48" t="s">
        <v>56</v>
      </c>
      <c r="L152" s="49"/>
    </row>
    <row r="153" spans="1:12" s="1" customFormat="1" ht="30" customHeight="1" x14ac:dyDescent="0.25">
      <c r="A153" s="40" t="s">
        <v>186</v>
      </c>
      <c r="B153" s="40"/>
      <c r="C153" s="42">
        <v>4241244</v>
      </c>
      <c r="D153" s="25">
        <v>0</v>
      </c>
      <c r="E153" s="42">
        <v>1086627</v>
      </c>
      <c r="F153" s="42"/>
      <c r="G153" s="42"/>
      <c r="H153" s="42"/>
      <c r="I153" s="43">
        <f t="shared" si="16"/>
        <v>1086627</v>
      </c>
      <c r="J153" s="44">
        <f t="shared" si="17"/>
        <v>0.25620478331357499</v>
      </c>
      <c r="K153" s="48" t="s">
        <v>38</v>
      </c>
      <c r="L153" s="49"/>
    </row>
    <row r="154" spans="1:12" s="1" customFormat="1" ht="26.25" customHeight="1" x14ac:dyDescent="0.25">
      <c r="A154" s="40" t="s">
        <v>187</v>
      </c>
      <c r="B154" s="40"/>
      <c r="C154" s="41">
        <v>100000</v>
      </c>
      <c r="D154" s="25">
        <v>0</v>
      </c>
      <c r="E154" s="42">
        <v>0</v>
      </c>
      <c r="F154" s="42"/>
      <c r="G154" s="42"/>
      <c r="H154" s="42"/>
      <c r="I154" s="43">
        <f t="shared" si="16"/>
        <v>0</v>
      </c>
      <c r="J154" s="44">
        <f t="shared" si="17"/>
        <v>0</v>
      </c>
      <c r="K154" s="48" t="s">
        <v>56</v>
      </c>
      <c r="L154" s="49"/>
    </row>
    <row r="155" spans="1:12" s="1" customFormat="1" ht="32.25" customHeight="1" x14ac:dyDescent="0.25">
      <c r="A155" s="52" t="s">
        <v>188</v>
      </c>
      <c r="B155" s="52"/>
      <c r="C155" s="42">
        <v>100000</v>
      </c>
      <c r="D155" s="25">
        <v>0</v>
      </c>
      <c r="E155" s="42">
        <v>0</v>
      </c>
      <c r="F155" s="42"/>
      <c r="G155" s="42"/>
      <c r="H155" s="42"/>
      <c r="I155" s="43">
        <f t="shared" si="16"/>
        <v>0</v>
      </c>
      <c r="J155" s="44">
        <f t="shared" si="17"/>
        <v>0</v>
      </c>
      <c r="K155" s="48" t="s">
        <v>56</v>
      </c>
      <c r="L155" s="49"/>
    </row>
    <row r="156" spans="1:12" s="1" customFormat="1" ht="18.75" customHeight="1" x14ac:dyDescent="0.25">
      <c r="A156" s="53" t="s">
        <v>79</v>
      </c>
      <c r="B156" s="53"/>
      <c r="C156" s="54">
        <f>SUM(C135:C155)</f>
        <v>29686156</v>
      </c>
      <c r="D156" s="54">
        <f t="shared" ref="D156:I156" si="18">SUM(D135:D155)</f>
        <v>0</v>
      </c>
      <c r="E156" s="54">
        <f t="shared" si="18"/>
        <v>3223421</v>
      </c>
      <c r="F156" s="54">
        <f t="shared" si="18"/>
        <v>0</v>
      </c>
      <c r="G156" s="54">
        <f t="shared" si="18"/>
        <v>0</v>
      </c>
      <c r="H156" s="54">
        <f t="shared" si="18"/>
        <v>0</v>
      </c>
      <c r="I156" s="54">
        <f t="shared" si="18"/>
        <v>3223421</v>
      </c>
      <c r="J156" s="55">
        <f t="shared" si="17"/>
        <v>0.10858330731671692</v>
      </c>
      <c r="K156" s="56"/>
      <c r="L156" s="57"/>
    </row>
    <row r="157" spans="1:12" s="1" customFormat="1" ht="21.75" customHeight="1" x14ac:dyDescent="0.25">
      <c r="A157" s="36" t="s">
        <v>189</v>
      </c>
      <c r="B157" s="36"/>
      <c r="C157" s="37"/>
      <c r="D157" s="38"/>
      <c r="E157" s="38"/>
      <c r="F157" s="38"/>
      <c r="G157" s="38"/>
      <c r="H157" s="38"/>
      <c r="I157" s="38"/>
      <c r="J157" s="38"/>
      <c r="K157" s="39"/>
      <c r="L157" s="39"/>
    </row>
    <row r="158" spans="1:12" s="1" customFormat="1" ht="27" customHeight="1" x14ac:dyDescent="0.25">
      <c r="A158" s="40" t="s">
        <v>190</v>
      </c>
      <c r="B158" s="40"/>
      <c r="C158" s="41">
        <v>10224000</v>
      </c>
      <c r="D158" s="25">
        <v>0</v>
      </c>
      <c r="E158" s="42">
        <v>0</v>
      </c>
      <c r="F158" s="42"/>
      <c r="G158" s="42"/>
      <c r="H158" s="42"/>
      <c r="I158" s="43">
        <f t="shared" ref="I158:I163" si="19">SUM(E158:H158)</f>
        <v>0</v>
      </c>
      <c r="J158" s="44">
        <f t="shared" ref="J158:J175" si="20">IFERROR((I158/(C158+D158)),0)</f>
        <v>0</v>
      </c>
      <c r="K158" s="48" t="s">
        <v>191</v>
      </c>
      <c r="L158" s="48"/>
    </row>
    <row r="159" spans="1:12" s="1" customFormat="1" ht="32.1" customHeight="1" x14ac:dyDescent="0.25">
      <c r="A159" s="40" t="s">
        <v>192</v>
      </c>
      <c r="B159" s="40"/>
      <c r="C159" s="42">
        <v>4700000</v>
      </c>
      <c r="D159" s="25">
        <v>0</v>
      </c>
      <c r="E159" s="42">
        <v>58020</v>
      </c>
      <c r="F159" s="42"/>
      <c r="G159" s="42"/>
      <c r="H159" s="42"/>
      <c r="I159" s="43">
        <f t="shared" si="19"/>
        <v>58020</v>
      </c>
      <c r="J159" s="44">
        <f t="shared" si="20"/>
        <v>1.2344680851063829E-2</v>
      </c>
      <c r="K159" s="48" t="s">
        <v>191</v>
      </c>
      <c r="L159" s="48"/>
    </row>
    <row r="160" spans="1:12" s="1" customFormat="1" ht="20.25" customHeight="1" x14ac:dyDescent="0.25">
      <c r="A160" s="40" t="s">
        <v>193</v>
      </c>
      <c r="B160" s="40"/>
      <c r="C160" s="42">
        <v>350000</v>
      </c>
      <c r="D160" s="25">
        <v>0</v>
      </c>
      <c r="E160" s="42">
        <v>0</v>
      </c>
      <c r="F160" s="42"/>
      <c r="G160" s="42"/>
      <c r="H160" s="42"/>
      <c r="I160" s="43">
        <f t="shared" si="19"/>
        <v>0</v>
      </c>
      <c r="J160" s="44">
        <f t="shared" si="20"/>
        <v>0</v>
      </c>
      <c r="K160" s="48" t="s">
        <v>194</v>
      </c>
      <c r="L160" s="49"/>
    </row>
    <row r="161" spans="1:12" s="1" customFormat="1" ht="18.75" customHeight="1" x14ac:dyDescent="0.25">
      <c r="A161" s="40" t="s">
        <v>195</v>
      </c>
      <c r="B161" s="40"/>
      <c r="C161" s="42">
        <v>50000</v>
      </c>
      <c r="D161" s="25">
        <v>0</v>
      </c>
      <c r="E161" s="42">
        <v>0</v>
      </c>
      <c r="F161" s="42"/>
      <c r="G161" s="42"/>
      <c r="H161" s="42"/>
      <c r="I161" s="43">
        <f t="shared" si="19"/>
        <v>0</v>
      </c>
      <c r="J161" s="44">
        <f t="shared" si="20"/>
        <v>0</v>
      </c>
      <c r="K161" s="48" t="s">
        <v>54</v>
      </c>
      <c r="L161" s="49"/>
    </row>
    <row r="162" spans="1:12" s="1" customFormat="1" ht="21.75" customHeight="1" x14ac:dyDescent="0.25">
      <c r="A162" s="40" t="s">
        <v>196</v>
      </c>
      <c r="B162" s="40"/>
      <c r="C162" s="58">
        <f>50000+9000</f>
        <v>59000</v>
      </c>
      <c r="D162" s="25">
        <v>0</v>
      </c>
      <c r="E162" s="42">
        <v>0</v>
      </c>
      <c r="F162" s="42"/>
      <c r="G162" s="42"/>
      <c r="H162" s="42"/>
      <c r="I162" s="43">
        <f t="shared" si="19"/>
        <v>0</v>
      </c>
      <c r="J162" s="44">
        <f t="shared" si="20"/>
        <v>0</v>
      </c>
      <c r="K162" s="48" t="s">
        <v>56</v>
      </c>
      <c r="L162" s="49"/>
    </row>
    <row r="163" spans="1:12" s="1" customFormat="1" ht="21" customHeight="1" x14ac:dyDescent="0.25">
      <c r="A163" s="40" t="s">
        <v>197</v>
      </c>
      <c r="B163" s="40"/>
      <c r="C163" s="42">
        <v>461839</v>
      </c>
      <c r="D163" s="25">
        <v>0</v>
      </c>
      <c r="E163" s="42">
        <v>16823</v>
      </c>
      <c r="F163" s="42"/>
      <c r="G163" s="42"/>
      <c r="H163" s="42"/>
      <c r="I163" s="43">
        <f t="shared" si="19"/>
        <v>16823</v>
      </c>
      <c r="J163" s="44">
        <f t="shared" si="20"/>
        <v>3.6426113862190072E-2</v>
      </c>
      <c r="K163" s="48" t="s">
        <v>38</v>
      </c>
      <c r="L163" s="49"/>
    </row>
    <row r="164" spans="1:12" s="1" customFormat="1" ht="18.75" customHeight="1" x14ac:dyDescent="0.25">
      <c r="A164" s="53" t="s">
        <v>79</v>
      </c>
      <c r="B164" s="53"/>
      <c r="C164" s="54">
        <f>SUM(C158:C163)</f>
        <v>15844839</v>
      </c>
      <c r="D164" s="54">
        <f t="shared" ref="D164:I164" si="21">SUM(D158:D163)</f>
        <v>0</v>
      </c>
      <c r="E164" s="54">
        <f t="shared" si="21"/>
        <v>74843</v>
      </c>
      <c r="F164" s="54">
        <f t="shared" si="21"/>
        <v>0</v>
      </c>
      <c r="G164" s="54">
        <f t="shared" si="21"/>
        <v>0</v>
      </c>
      <c r="H164" s="54">
        <f t="shared" si="21"/>
        <v>0</v>
      </c>
      <c r="I164" s="54">
        <f t="shared" si="21"/>
        <v>74843</v>
      </c>
      <c r="J164" s="55">
        <f t="shared" si="20"/>
        <v>4.7234938770914616E-3</v>
      </c>
      <c r="K164" s="56"/>
      <c r="L164" s="57"/>
    </row>
    <row r="165" spans="1:12" s="1" customFormat="1" ht="21.75" customHeight="1" x14ac:dyDescent="0.25">
      <c r="A165" s="36" t="s">
        <v>198</v>
      </c>
      <c r="B165" s="36"/>
      <c r="C165" s="37"/>
      <c r="D165" s="38"/>
      <c r="E165" s="38"/>
      <c r="F165" s="38"/>
      <c r="G165" s="38"/>
      <c r="H165" s="38"/>
      <c r="I165" s="38"/>
      <c r="J165" s="38"/>
      <c r="K165" s="39"/>
      <c r="L165" s="39"/>
    </row>
    <row r="166" spans="1:12" s="1" customFormat="1" ht="19.5" customHeight="1" x14ac:dyDescent="0.25">
      <c r="A166" s="64" t="s">
        <v>199</v>
      </c>
      <c r="B166" s="35"/>
      <c r="C166" s="65">
        <f>(300000+243000)-(300000+243000)</f>
        <v>0</v>
      </c>
      <c r="D166" s="66">
        <f>0</f>
        <v>0</v>
      </c>
      <c r="E166" s="67">
        <f>(23500+48988+34948)-107436</f>
        <v>0</v>
      </c>
      <c r="F166" s="68">
        <f>0</f>
        <v>0</v>
      </c>
      <c r="G166" s="68">
        <f>0</f>
        <v>0</v>
      </c>
      <c r="H166" s="68">
        <f>0</f>
        <v>0</v>
      </c>
      <c r="I166" s="43">
        <f t="shared" ref="I166" si="22">SUM(E166:H166)</f>
        <v>0</v>
      </c>
      <c r="J166" s="44">
        <f t="shared" ref="J166" si="23">IFERROR((I166/(C166+D166)),0)</f>
        <v>0</v>
      </c>
      <c r="K166" s="69"/>
      <c r="L166" s="69"/>
    </row>
    <row r="167" spans="1:12" s="1" customFormat="1" ht="18.75" customHeight="1" x14ac:dyDescent="0.25">
      <c r="A167" s="53" t="s">
        <v>79</v>
      </c>
      <c r="B167" s="53"/>
      <c r="C167" s="54">
        <f>C166</f>
        <v>0</v>
      </c>
      <c r="D167" s="54">
        <f t="shared" ref="D167:I167" si="24">D166</f>
        <v>0</v>
      </c>
      <c r="E167" s="54">
        <f t="shared" si="24"/>
        <v>0</v>
      </c>
      <c r="F167" s="54">
        <f t="shared" si="24"/>
        <v>0</v>
      </c>
      <c r="G167" s="54">
        <f t="shared" si="24"/>
        <v>0</v>
      </c>
      <c r="H167" s="54">
        <f t="shared" si="24"/>
        <v>0</v>
      </c>
      <c r="I167" s="54">
        <f t="shared" si="24"/>
        <v>0</v>
      </c>
      <c r="J167" s="55">
        <f t="shared" si="20"/>
        <v>0</v>
      </c>
      <c r="K167" s="56"/>
      <c r="L167" s="57"/>
    </row>
    <row r="168" spans="1:12" s="1" customFormat="1" ht="18.75" customHeight="1" x14ac:dyDescent="0.25">
      <c r="A168" s="36" t="s">
        <v>200</v>
      </c>
      <c r="B168" s="36"/>
      <c r="C168" s="37"/>
      <c r="D168" s="38"/>
      <c r="E168" s="38"/>
      <c r="F168" s="38"/>
      <c r="G168" s="38"/>
      <c r="H168" s="38"/>
      <c r="I168" s="38"/>
      <c r="J168" s="38"/>
      <c r="K168" s="39"/>
      <c r="L168" s="39"/>
    </row>
    <row r="169" spans="1:12" s="1" customFormat="1" ht="32.25" customHeight="1" x14ac:dyDescent="0.25">
      <c r="A169" s="40" t="s">
        <v>201</v>
      </c>
      <c r="B169" s="40" t="s">
        <v>202</v>
      </c>
      <c r="C169" s="42">
        <v>1020000</v>
      </c>
      <c r="D169" s="25">
        <v>0</v>
      </c>
      <c r="E169" s="42">
        <v>15453</v>
      </c>
      <c r="F169" s="42"/>
      <c r="G169" s="42"/>
      <c r="H169" s="42"/>
      <c r="I169" s="43">
        <f t="shared" ref="I169" si="25">SUM(E169:H169)</f>
        <v>15453</v>
      </c>
      <c r="J169" s="44">
        <f t="shared" ref="J169" si="26">IFERROR((I169/(C169+D169)),0)</f>
        <v>1.515E-2</v>
      </c>
      <c r="K169" s="48" t="s">
        <v>38</v>
      </c>
      <c r="L169" s="49"/>
    </row>
    <row r="170" spans="1:12" s="1" customFormat="1" ht="18.75" customHeight="1" x14ac:dyDescent="0.25">
      <c r="A170" s="53" t="s">
        <v>79</v>
      </c>
      <c r="B170" s="53"/>
      <c r="C170" s="54">
        <f>C169</f>
        <v>1020000</v>
      </c>
      <c r="D170" s="54">
        <f t="shared" ref="D170:I170" si="27">D169</f>
        <v>0</v>
      </c>
      <c r="E170" s="54">
        <f t="shared" si="27"/>
        <v>15453</v>
      </c>
      <c r="F170" s="54">
        <f t="shared" si="27"/>
        <v>0</v>
      </c>
      <c r="G170" s="54">
        <f t="shared" si="27"/>
        <v>0</v>
      </c>
      <c r="H170" s="54">
        <f t="shared" si="27"/>
        <v>0</v>
      </c>
      <c r="I170" s="54">
        <f t="shared" si="27"/>
        <v>15453</v>
      </c>
      <c r="J170" s="55">
        <f t="shared" si="20"/>
        <v>1.515E-2</v>
      </c>
      <c r="K170" s="56"/>
      <c r="L170" s="57"/>
    </row>
    <row r="171" spans="1:12" s="1" customFormat="1" ht="21.75" customHeight="1" x14ac:dyDescent="0.25">
      <c r="A171" s="36" t="s">
        <v>203</v>
      </c>
      <c r="B171" s="36"/>
      <c r="C171" s="37"/>
      <c r="D171" s="38"/>
      <c r="E171" s="38"/>
      <c r="F171" s="38"/>
      <c r="G171" s="38"/>
      <c r="H171" s="38"/>
      <c r="I171" s="38"/>
      <c r="J171" s="38"/>
      <c r="K171" s="39"/>
      <c r="L171" s="39"/>
    </row>
    <row r="172" spans="1:12" s="1" customFormat="1" ht="27.75" customHeight="1" x14ac:dyDescent="0.25">
      <c r="A172" s="40" t="s">
        <v>204</v>
      </c>
      <c r="B172" s="40"/>
      <c r="C172" s="42">
        <v>500000</v>
      </c>
      <c r="D172" s="25">
        <v>0</v>
      </c>
      <c r="E172" s="42">
        <v>68209</v>
      </c>
      <c r="F172" s="42"/>
      <c r="G172" s="42"/>
      <c r="H172" s="42"/>
      <c r="I172" s="43">
        <f t="shared" ref="I172" si="28">SUM(E172:H172)</f>
        <v>68209</v>
      </c>
      <c r="J172" s="44">
        <f t="shared" ref="J172" si="29">IFERROR((I172/(C172+D172)),0)</f>
        <v>0.13641800000000001</v>
      </c>
      <c r="K172" s="48" t="s">
        <v>205</v>
      </c>
      <c r="L172" s="49"/>
    </row>
    <row r="173" spans="1:12" s="1" customFormat="1" ht="18.75" customHeight="1" x14ac:dyDescent="0.25">
      <c r="A173" s="53" t="s">
        <v>79</v>
      </c>
      <c r="B173" s="53"/>
      <c r="C173" s="54">
        <f>C172</f>
        <v>500000</v>
      </c>
      <c r="D173" s="54">
        <f t="shared" ref="D173:I173" si="30">D172</f>
        <v>0</v>
      </c>
      <c r="E173" s="54">
        <f t="shared" si="30"/>
        <v>68209</v>
      </c>
      <c r="F173" s="54">
        <f t="shared" si="30"/>
        <v>0</v>
      </c>
      <c r="G173" s="54">
        <f t="shared" si="30"/>
        <v>0</v>
      </c>
      <c r="H173" s="54">
        <f t="shared" si="30"/>
        <v>0</v>
      </c>
      <c r="I173" s="54">
        <f t="shared" si="30"/>
        <v>68209</v>
      </c>
      <c r="J173" s="55">
        <f t="shared" si="20"/>
        <v>0.13641800000000001</v>
      </c>
      <c r="K173" s="56"/>
      <c r="L173" s="57"/>
    </row>
    <row r="174" spans="1:12" s="1" customFormat="1" ht="21.75" customHeight="1" x14ac:dyDescent="0.25">
      <c r="A174" s="36" t="s">
        <v>206</v>
      </c>
      <c r="B174" s="36"/>
      <c r="C174" s="70">
        <f>589+54+235+161</f>
        <v>1039</v>
      </c>
      <c r="D174" s="38">
        <v>0</v>
      </c>
      <c r="E174" s="38">
        <f>0</f>
        <v>0</v>
      </c>
      <c r="F174" s="38">
        <f>0</f>
        <v>0</v>
      </c>
      <c r="G174" s="38">
        <f>0</f>
        <v>0</v>
      </c>
      <c r="H174" s="38">
        <f>0</f>
        <v>0</v>
      </c>
      <c r="I174" s="38">
        <f>0</f>
        <v>0</v>
      </c>
      <c r="J174" s="38">
        <f t="shared" si="20"/>
        <v>0</v>
      </c>
      <c r="K174" s="39"/>
      <c r="L174" s="39"/>
    </row>
    <row r="175" spans="1:12" s="1" customFormat="1" ht="22.5" customHeight="1" x14ac:dyDescent="0.25">
      <c r="A175" s="71" t="s">
        <v>207</v>
      </c>
      <c r="B175" s="71"/>
      <c r="C175" s="72">
        <f t="shared" ref="C175:I175" si="31">C173+C170+C164+C156+C133+C118+C89+C67+C59+C174+C167</f>
        <v>265426626</v>
      </c>
      <c r="D175" s="72">
        <f t="shared" si="31"/>
        <v>13622099</v>
      </c>
      <c r="E175" s="72">
        <f t="shared" si="31"/>
        <v>27330293</v>
      </c>
      <c r="F175" s="72">
        <f t="shared" si="31"/>
        <v>0</v>
      </c>
      <c r="G175" s="72">
        <f t="shared" si="31"/>
        <v>0</v>
      </c>
      <c r="H175" s="72">
        <f t="shared" si="31"/>
        <v>0</v>
      </c>
      <c r="I175" s="72">
        <f t="shared" si="31"/>
        <v>27330293</v>
      </c>
      <c r="J175" s="73">
        <f t="shared" si="20"/>
        <v>9.7940934867199264E-2</v>
      </c>
      <c r="K175" s="74"/>
      <c r="L175" s="74"/>
    </row>
    <row r="176" spans="1:12" s="1" customFormat="1" ht="23.25" customHeight="1" x14ac:dyDescent="0.25">
      <c r="A176" s="75" t="s">
        <v>208</v>
      </c>
      <c r="B176" s="76"/>
      <c r="C176" s="76"/>
      <c r="D176" s="76"/>
      <c r="E176" s="76"/>
      <c r="F176" s="76"/>
      <c r="G176" s="76"/>
      <c r="H176" s="76"/>
      <c r="I176" s="77" t="s">
        <v>209</v>
      </c>
      <c r="J176" s="78"/>
      <c r="K176" s="78"/>
      <c r="L176" s="78"/>
    </row>
    <row r="177" spans="1:12" s="1" customFormat="1" ht="19.5" customHeight="1" x14ac:dyDescent="0.25">
      <c r="A177" s="79" t="s">
        <v>210</v>
      </c>
      <c r="B177" s="79"/>
      <c r="C177" s="79"/>
      <c r="D177" s="79"/>
      <c r="E177" s="79"/>
      <c r="F177" s="79"/>
      <c r="G177" s="79"/>
      <c r="H177" s="79"/>
      <c r="I177" s="79"/>
      <c r="J177" s="79"/>
      <c r="K177" s="79"/>
      <c r="L177" s="79"/>
    </row>
    <row r="178" spans="1:12" s="1" customFormat="1" ht="19.5" customHeight="1" x14ac:dyDescent="0.25">
      <c r="A178" s="80" t="s">
        <v>211</v>
      </c>
      <c r="B178" s="80"/>
      <c r="C178" s="80"/>
      <c r="D178" s="80"/>
      <c r="E178" s="80"/>
      <c r="F178" s="80"/>
      <c r="G178" s="80"/>
      <c r="H178" s="80"/>
      <c r="I178" s="80"/>
      <c r="J178" s="80"/>
      <c r="K178" s="80"/>
      <c r="L178" s="80"/>
    </row>
    <row r="179" spans="1:12" s="1" customFormat="1" ht="19.5" customHeight="1" x14ac:dyDescent="0.25">
      <c r="A179" s="80" t="s">
        <v>212</v>
      </c>
      <c r="B179" s="80"/>
      <c r="C179" s="80"/>
      <c r="D179" s="80"/>
      <c r="E179" s="80"/>
      <c r="F179" s="80"/>
      <c r="G179" s="80"/>
      <c r="H179" s="80"/>
      <c r="I179" s="80"/>
      <c r="J179" s="80"/>
      <c r="K179" s="80"/>
      <c r="L179" s="80"/>
    </row>
    <row r="180" spans="1:12" s="1" customFormat="1" ht="22.5" customHeight="1" x14ac:dyDescent="0.25">
      <c r="A180" s="8" t="s">
        <v>213</v>
      </c>
      <c r="B180" s="9"/>
      <c r="C180" s="9"/>
      <c r="D180" s="9"/>
      <c r="E180" s="9"/>
      <c r="F180" s="9"/>
      <c r="G180" s="9"/>
      <c r="H180" s="9"/>
      <c r="I180" s="9"/>
      <c r="J180" s="9"/>
      <c r="K180" s="9"/>
      <c r="L180" s="9"/>
    </row>
    <row r="181" spans="1:12" s="1" customFormat="1" ht="20.25" customHeight="1" x14ac:dyDescent="0.25">
      <c r="A181" s="6" t="s">
        <v>214</v>
      </c>
      <c r="B181" s="81"/>
      <c r="C181" s="81"/>
      <c r="D181" s="81"/>
      <c r="E181" s="81"/>
      <c r="F181" s="81"/>
      <c r="G181" s="81"/>
      <c r="H181" s="82">
        <f>G13+G16-I175</f>
        <v>534230279</v>
      </c>
      <c r="I181" s="83"/>
      <c r="J181" s="13" t="s">
        <v>10</v>
      </c>
      <c r="K181" s="13"/>
      <c r="L181" s="13"/>
    </row>
    <row r="182" spans="1:12" s="1" customFormat="1" ht="24" customHeight="1" x14ac:dyDescent="0.25">
      <c r="A182" s="6" t="s">
        <v>215</v>
      </c>
      <c r="B182" s="81"/>
      <c r="C182" s="81"/>
      <c r="D182" s="84">
        <v>0</v>
      </c>
      <c r="E182" s="6" t="s">
        <v>216</v>
      </c>
      <c r="F182" s="81"/>
      <c r="G182" s="81"/>
      <c r="H182" s="85"/>
      <c r="I182" s="85"/>
      <c r="J182" s="85"/>
      <c r="K182" s="85"/>
      <c r="L182" s="86"/>
    </row>
    <row r="183" spans="1:12" s="1" customFormat="1" ht="23.25" customHeight="1" x14ac:dyDescent="0.25">
      <c r="A183" s="6" t="s">
        <v>217</v>
      </c>
      <c r="B183" s="6"/>
      <c r="C183" s="6"/>
      <c r="D183" s="6"/>
      <c r="E183" s="6"/>
      <c r="F183" s="6"/>
      <c r="G183" s="6"/>
      <c r="H183" s="6"/>
      <c r="I183" s="6"/>
      <c r="J183" s="6"/>
      <c r="K183" s="6"/>
      <c r="L183" s="6"/>
    </row>
    <row r="184" spans="1:12" s="1" customFormat="1" ht="22.5" customHeight="1" x14ac:dyDescent="0.25">
      <c r="A184" s="8" t="s">
        <v>218</v>
      </c>
      <c r="B184" s="9"/>
      <c r="C184" s="9"/>
      <c r="D184" s="9"/>
      <c r="E184" s="9"/>
      <c r="F184" s="9"/>
      <c r="G184" s="9"/>
      <c r="H184" s="9"/>
      <c r="I184" s="9"/>
      <c r="J184" s="9"/>
      <c r="K184" s="9"/>
      <c r="L184" s="9"/>
    </row>
    <row r="185" spans="1:12" s="1" customFormat="1" ht="22.5" customHeight="1" x14ac:dyDescent="0.25">
      <c r="A185" s="7" t="s">
        <v>219</v>
      </c>
      <c r="B185" s="87"/>
      <c r="C185" s="87"/>
      <c r="D185" s="87"/>
      <c r="E185" s="87"/>
      <c r="F185" s="87"/>
      <c r="G185" s="87"/>
      <c r="H185" s="87"/>
      <c r="I185" s="87"/>
      <c r="J185" s="87"/>
      <c r="K185" s="9"/>
      <c r="L185" s="9"/>
    </row>
    <row r="186" spans="1:12" s="1" customFormat="1" ht="22.5" customHeight="1" x14ac:dyDescent="0.25">
      <c r="A186" s="7" t="s">
        <v>220</v>
      </c>
      <c r="B186" s="87"/>
      <c r="C186" s="87"/>
      <c r="D186" s="87"/>
      <c r="E186" s="87"/>
      <c r="F186" s="87"/>
      <c r="G186" s="87"/>
      <c r="H186" s="87"/>
      <c r="I186" s="87"/>
      <c r="J186" s="87"/>
      <c r="K186" s="9"/>
      <c r="L186" s="9"/>
    </row>
    <row r="187" spans="1:12" s="1" customFormat="1" ht="22.5" customHeight="1" x14ac:dyDescent="0.25">
      <c r="A187" s="7"/>
      <c r="B187" s="7"/>
      <c r="C187" s="7"/>
      <c r="D187" s="7"/>
      <c r="E187" s="7"/>
      <c r="F187" s="7"/>
      <c r="G187" s="7"/>
      <c r="H187" s="7"/>
      <c r="I187" s="7"/>
      <c r="J187" s="7"/>
      <c r="K187" s="7"/>
      <c r="L187" s="7"/>
    </row>
    <row r="188" spans="1:12" s="1" customFormat="1" ht="26.25" customHeight="1" x14ac:dyDescent="0.25">
      <c r="A188" s="9" t="s">
        <v>221</v>
      </c>
      <c r="B188" s="9"/>
      <c r="C188" s="9"/>
      <c r="D188" s="9"/>
      <c r="E188" s="9"/>
      <c r="F188" s="9"/>
      <c r="G188" s="9"/>
      <c r="H188" s="9"/>
      <c r="I188" s="9" t="s">
        <v>222</v>
      </c>
      <c r="J188" s="9"/>
      <c r="K188" s="9"/>
      <c r="L188" s="9"/>
    </row>
    <row r="189" spans="1:12" s="1" customFormat="1" ht="26.25" customHeight="1" x14ac:dyDescent="0.25">
      <c r="A189" s="9" t="s">
        <v>223</v>
      </c>
      <c r="B189" s="88" t="s">
        <v>224</v>
      </c>
      <c r="C189" s="9"/>
      <c r="D189" s="9"/>
      <c r="E189" s="9"/>
      <c r="F189" s="9"/>
      <c r="G189" s="9"/>
      <c r="H189" s="9"/>
      <c r="I189" s="9" t="s">
        <v>225</v>
      </c>
      <c r="J189" s="9"/>
      <c r="K189" s="89"/>
      <c r="L189" s="9"/>
    </row>
    <row r="190" spans="1:12" s="1" customFormat="1" ht="26.25" customHeight="1" x14ac:dyDescent="0.25">
      <c r="A190" s="9" t="s">
        <v>226</v>
      </c>
      <c r="B190" s="9" t="s">
        <v>227</v>
      </c>
      <c r="C190" s="9"/>
      <c r="D190" s="9"/>
      <c r="E190" s="9"/>
      <c r="F190" s="9"/>
      <c r="G190" s="9"/>
      <c r="H190" s="9"/>
      <c r="I190" s="9"/>
      <c r="J190" s="9"/>
      <c r="K190" s="9"/>
      <c r="L190" s="9"/>
    </row>
    <row r="191" spans="1:12" s="1" customFormat="1" ht="26.25" customHeight="1" x14ac:dyDescent="0.25">
      <c r="A191" s="9"/>
      <c r="B191" s="9"/>
      <c r="C191" s="9"/>
      <c r="D191" s="9"/>
      <c r="E191" s="9"/>
      <c r="F191" s="9"/>
      <c r="G191" s="9"/>
      <c r="H191" s="9"/>
      <c r="I191" s="9"/>
      <c r="J191" s="9"/>
      <c r="K191" s="9"/>
      <c r="L191" s="9"/>
    </row>
    <row r="192" spans="1:12" s="1" customFormat="1" ht="35.25" customHeight="1" x14ac:dyDescent="0.25">
      <c r="A192" s="9" t="s">
        <v>228</v>
      </c>
      <c r="B192" s="9"/>
      <c r="C192" s="9"/>
      <c r="D192" s="9"/>
      <c r="E192" s="9"/>
      <c r="F192" s="9"/>
      <c r="G192" s="9"/>
      <c r="H192" s="9"/>
      <c r="I192" s="9" t="s">
        <v>229</v>
      </c>
      <c r="J192" s="9"/>
      <c r="K192" s="9"/>
      <c r="L192" s="9"/>
    </row>
    <row r="193" spans="1:12" s="1" customFormat="1" ht="35.25" customHeight="1" x14ac:dyDescent="0.25">
      <c r="A193" s="9" t="s">
        <v>225</v>
      </c>
      <c r="B193" s="9"/>
      <c r="C193" s="9"/>
      <c r="D193" s="9"/>
      <c r="E193" s="9"/>
      <c r="F193" s="9"/>
      <c r="G193" s="9"/>
      <c r="H193" s="9"/>
      <c r="I193" s="9" t="s">
        <v>230</v>
      </c>
      <c r="J193" s="9"/>
      <c r="K193" s="9"/>
      <c r="L193" s="9"/>
    </row>
    <row r="194" spans="1:12" s="1" customFormat="1" ht="26.25" customHeight="1" x14ac:dyDescent="0.25">
      <c r="A194" s="90" t="s">
        <v>231</v>
      </c>
      <c r="B194" s="90"/>
      <c r="C194" s="90"/>
      <c r="D194" s="90"/>
      <c r="E194" s="90"/>
      <c r="F194" s="90"/>
      <c r="G194" s="90"/>
      <c r="H194" s="90"/>
      <c r="I194" s="90"/>
      <c r="J194" s="90"/>
      <c r="K194" s="90"/>
      <c r="L194" s="90"/>
    </row>
    <row r="195" spans="1:12" s="1" customFormat="1" x14ac:dyDescent="0.25">
      <c r="A195" s="91"/>
      <c r="B195" s="91"/>
      <c r="C195" s="91"/>
      <c r="D195" s="91"/>
      <c r="E195" s="91"/>
      <c r="F195" s="91"/>
      <c r="G195" s="91"/>
      <c r="H195" s="91"/>
      <c r="I195" s="91"/>
      <c r="J195" s="91"/>
      <c r="K195" s="91"/>
      <c r="L195" s="91"/>
    </row>
    <row r="196" spans="1:12" s="1" customFormat="1" x14ac:dyDescent="0.25">
      <c r="A196" s="91"/>
      <c r="B196" s="91"/>
      <c r="C196" s="91"/>
      <c r="D196" s="91"/>
      <c r="E196" s="91"/>
      <c r="F196" s="91"/>
      <c r="G196" s="91"/>
      <c r="H196" s="91"/>
      <c r="I196" s="91"/>
      <c r="J196" s="91"/>
      <c r="K196" s="91"/>
      <c r="L196" s="91"/>
    </row>
    <row r="197" spans="1:12" s="1" customFormat="1" x14ac:dyDescent="0.25">
      <c r="A197" s="91"/>
      <c r="B197" s="91"/>
      <c r="C197" s="91"/>
      <c r="D197" s="92"/>
      <c r="E197" s="91"/>
      <c r="F197" s="91"/>
      <c r="G197" s="91"/>
      <c r="H197" s="91"/>
      <c r="I197" s="91"/>
      <c r="J197" s="91"/>
      <c r="K197" s="91"/>
      <c r="L197" s="91"/>
    </row>
    <row r="198" spans="1:12" s="1" customFormat="1" x14ac:dyDescent="0.25">
      <c r="A198" s="91"/>
      <c r="B198" s="91"/>
      <c r="C198" s="91"/>
      <c r="D198" s="91"/>
      <c r="E198" s="91"/>
      <c r="F198" s="91"/>
      <c r="G198" s="91"/>
      <c r="H198" s="91"/>
      <c r="I198" s="91"/>
      <c r="J198" s="91"/>
      <c r="K198" s="91"/>
      <c r="L198" s="91"/>
    </row>
    <row r="199" spans="1:12" s="1" customFormat="1" x14ac:dyDescent="0.25">
      <c r="A199" s="91"/>
      <c r="B199" s="91"/>
      <c r="C199" s="91"/>
      <c r="D199" s="91"/>
      <c r="E199" s="91"/>
      <c r="F199" s="91"/>
      <c r="G199" s="91"/>
      <c r="H199" s="91"/>
      <c r="I199" s="91"/>
      <c r="J199" s="91"/>
      <c r="K199" s="91"/>
      <c r="L199" s="91"/>
    </row>
    <row r="200" spans="1:12" s="1" customFormat="1" x14ac:dyDescent="0.25">
      <c r="A200" s="91"/>
      <c r="B200" s="91"/>
      <c r="C200" s="91"/>
      <c r="D200" s="91"/>
      <c r="E200" s="91"/>
      <c r="F200" s="91"/>
      <c r="G200" s="91"/>
      <c r="H200" s="91"/>
      <c r="I200" s="91"/>
      <c r="J200" s="91"/>
      <c r="K200" s="91"/>
      <c r="L200" s="91"/>
    </row>
    <row r="201" spans="1:12" s="1" customFormat="1" x14ac:dyDescent="0.25">
      <c r="A201" s="91"/>
      <c r="B201" s="91"/>
      <c r="C201" s="91"/>
      <c r="D201" s="91"/>
      <c r="E201" s="91"/>
      <c r="F201" s="91"/>
      <c r="G201" s="91"/>
      <c r="H201" s="91"/>
      <c r="I201" s="91"/>
      <c r="J201" s="91"/>
      <c r="K201" s="91"/>
      <c r="L201" s="91"/>
    </row>
    <row r="202" spans="1:12" s="1" customFormat="1" x14ac:dyDescent="0.25">
      <c r="A202" s="91"/>
      <c r="B202" s="91"/>
      <c r="C202" s="91"/>
      <c r="D202" s="91"/>
      <c r="E202" s="91"/>
      <c r="F202" s="91"/>
      <c r="G202" s="91"/>
      <c r="H202" s="91"/>
      <c r="I202" s="91"/>
      <c r="J202" s="91"/>
      <c r="K202" s="91"/>
      <c r="L202" s="91"/>
    </row>
    <row r="203" spans="1:12" s="1" customFormat="1" x14ac:dyDescent="0.25">
      <c r="A203" s="91"/>
      <c r="B203" s="91"/>
      <c r="C203" s="91"/>
      <c r="D203" s="91"/>
      <c r="E203" s="91"/>
      <c r="F203" s="91"/>
      <c r="G203" s="91"/>
      <c r="H203" s="91"/>
      <c r="I203" s="91"/>
      <c r="J203" s="91"/>
      <c r="K203" s="91"/>
      <c r="L203" s="91"/>
    </row>
    <row r="204" spans="1:12" s="1" customFormat="1" x14ac:dyDescent="0.25">
      <c r="A204" s="91"/>
      <c r="B204" s="91"/>
      <c r="C204" s="91"/>
      <c r="D204" s="91"/>
      <c r="E204" s="91"/>
      <c r="F204" s="91"/>
      <c r="G204" s="91"/>
      <c r="H204" s="91"/>
      <c r="I204" s="91"/>
      <c r="J204" s="91"/>
      <c r="K204" s="91"/>
      <c r="L204" s="91"/>
    </row>
    <row r="205" spans="1:12" s="1" customFormat="1" x14ac:dyDescent="0.25">
      <c r="A205" s="91"/>
      <c r="B205" s="91"/>
      <c r="C205" s="91"/>
      <c r="D205" s="91"/>
      <c r="E205" s="91"/>
      <c r="F205" s="91"/>
      <c r="G205" s="91"/>
      <c r="H205" s="91"/>
      <c r="I205" s="91"/>
      <c r="J205" s="91"/>
      <c r="K205" s="91"/>
      <c r="L205" s="91"/>
    </row>
    <row r="206" spans="1:12" s="1" customFormat="1" x14ac:dyDescent="0.25">
      <c r="A206" s="91"/>
      <c r="B206" s="91"/>
      <c r="C206" s="91"/>
      <c r="D206" s="91"/>
      <c r="E206" s="91"/>
      <c r="F206" s="91"/>
      <c r="G206" s="91"/>
      <c r="H206" s="91"/>
      <c r="I206" s="91"/>
      <c r="J206" s="91"/>
      <c r="K206" s="91"/>
      <c r="L206" s="91"/>
    </row>
    <row r="207" spans="1:12" s="1" customFormat="1" x14ac:dyDescent="0.25">
      <c r="A207" s="91"/>
      <c r="B207" s="91"/>
      <c r="C207" s="91"/>
      <c r="D207" s="91"/>
      <c r="E207" s="91"/>
      <c r="F207" s="91"/>
      <c r="G207" s="91"/>
      <c r="H207" s="91"/>
      <c r="I207" s="91"/>
      <c r="J207" s="91"/>
      <c r="K207" s="91"/>
      <c r="L207" s="91"/>
    </row>
    <row r="208" spans="1:12" s="1" customFormat="1" x14ac:dyDescent="0.25">
      <c r="A208" s="91"/>
      <c r="B208" s="91"/>
      <c r="C208" s="91"/>
      <c r="D208" s="91"/>
      <c r="E208" s="91"/>
      <c r="F208" s="91"/>
      <c r="G208" s="91"/>
      <c r="H208" s="91"/>
      <c r="I208" s="91"/>
      <c r="J208" s="91"/>
      <c r="K208" s="91"/>
      <c r="L208" s="91"/>
    </row>
    <row r="209" spans="1:12" s="1" customFormat="1" x14ac:dyDescent="0.25">
      <c r="A209" s="91"/>
      <c r="B209" s="91"/>
      <c r="C209" s="91"/>
      <c r="D209" s="91"/>
      <c r="E209" s="91"/>
      <c r="F209" s="91"/>
      <c r="G209" s="91"/>
      <c r="H209" s="91"/>
      <c r="I209" s="91"/>
      <c r="J209" s="91"/>
      <c r="K209" s="91"/>
      <c r="L209" s="91"/>
    </row>
    <row r="210" spans="1:12" s="1" customFormat="1" x14ac:dyDescent="0.25">
      <c r="A210" s="91"/>
      <c r="B210" s="91"/>
      <c r="C210" s="91"/>
      <c r="D210" s="91"/>
      <c r="E210" s="91"/>
      <c r="F210" s="91"/>
      <c r="G210" s="91"/>
      <c r="H210" s="91"/>
      <c r="I210" s="91"/>
      <c r="J210" s="91"/>
      <c r="K210" s="91"/>
      <c r="L210" s="91"/>
    </row>
    <row r="211" spans="1:12" s="1" customFormat="1" x14ac:dyDescent="0.25">
      <c r="A211" s="91"/>
      <c r="B211" s="91"/>
      <c r="C211" s="91"/>
      <c r="D211" s="91"/>
      <c r="E211" s="91"/>
      <c r="F211" s="91"/>
      <c r="G211" s="91"/>
      <c r="H211" s="91"/>
      <c r="I211" s="91"/>
      <c r="J211" s="91"/>
      <c r="K211" s="91"/>
      <c r="L211" s="91"/>
    </row>
    <row r="212" spans="1:12" s="1" customFormat="1" x14ac:dyDescent="0.25">
      <c r="A212" s="91"/>
      <c r="B212" s="91"/>
      <c r="C212" s="91"/>
      <c r="D212" s="91"/>
      <c r="E212" s="91"/>
      <c r="F212" s="91"/>
      <c r="G212" s="91"/>
      <c r="H212" s="91"/>
      <c r="I212" s="91"/>
      <c r="J212" s="91"/>
      <c r="K212" s="91"/>
      <c r="L212" s="91"/>
    </row>
    <row r="213" spans="1:12" s="1" customFormat="1" x14ac:dyDescent="0.25">
      <c r="A213" s="91"/>
      <c r="B213" s="91"/>
      <c r="C213" s="91"/>
      <c r="D213" s="91"/>
      <c r="E213" s="91"/>
      <c r="F213" s="91"/>
      <c r="G213" s="91"/>
      <c r="H213" s="91"/>
      <c r="I213" s="91"/>
      <c r="J213" s="91"/>
      <c r="K213" s="91"/>
      <c r="L213" s="91"/>
    </row>
  </sheetData>
  <sheetProtection selectLockedCells="1" selectUnlockedCells="1"/>
  <mergeCells count="340">
    <mergeCell ref="A186:J186"/>
    <mergeCell ref="A187:L187"/>
    <mergeCell ref="A194:L194"/>
    <mergeCell ref="A181:G181"/>
    <mergeCell ref="H181:I181"/>
    <mergeCell ref="A182:C182"/>
    <mergeCell ref="E182:G182"/>
    <mergeCell ref="A183:L183"/>
    <mergeCell ref="A185:J185"/>
    <mergeCell ref="A175:B175"/>
    <mergeCell ref="K175:L175"/>
    <mergeCell ref="A176:H176"/>
    <mergeCell ref="A177:L177"/>
    <mergeCell ref="A178:L178"/>
    <mergeCell ref="A179:L179"/>
    <mergeCell ref="A172:B172"/>
    <mergeCell ref="K172:L172"/>
    <mergeCell ref="A173:B173"/>
    <mergeCell ref="K173:L173"/>
    <mergeCell ref="A174:B174"/>
    <mergeCell ref="K174:L174"/>
    <mergeCell ref="A169:B169"/>
    <mergeCell ref="K169:L169"/>
    <mergeCell ref="A170:B170"/>
    <mergeCell ref="K170:L170"/>
    <mergeCell ref="A171:B171"/>
    <mergeCell ref="K171:L171"/>
    <mergeCell ref="A166:B166"/>
    <mergeCell ref="K166:L166"/>
    <mergeCell ref="A167:B167"/>
    <mergeCell ref="K167:L167"/>
    <mergeCell ref="A168:B168"/>
    <mergeCell ref="K168:L168"/>
    <mergeCell ref="A163:B163"/>
    <mergeCell ref="K163:L163"/>
    <mergeCell ref="A164:B164"/>
    <mergeCell ref="K164:L164"/>
    <mergeCell ref="A165:B165"/>
    <mergeCell ref="K165:L165"/>
    <mergeCell ref="A160:B160"/>
    <mergeCell ref="K160:L160"/>
    <mergeCell ref="A161:B161"/>
    <mergeCell ref="K161:L161"/>
    <mergeCell ref="A162:B162"/>
    <mergeCell ref="K162:L162"/>
    <mergeCell ref="A157:B157"/>
    <mergeCell ref="K157:L157"/>
    <mergeCell ref="A158:B158"/>
    <mergeCell ref="K158:L158"/>
    <mergeCell ref="A159:B159"/>
    <mergeCell ref="K159:L159"/>
    <mergeCell ref="A154:B154"/>
    <mergeCell ref="K154:L154"/>
    <mergeCell ref="A155:B155"/>
    <mergeCell ref="K155:L155"/>
    <mergeCell ref="A156:B156"/>
    <mergeCell ref="K156:L156"/>
    <mergeCell ref="A151:B151"/>
    <mergeCell ref="K151:L151"/>
    <mergeCell ref="A152:B152"/>
    <mergeCell ref="K152:L152"/>
    <mergeCell ref="A153:B153"/>
    <mergeCell ref="K153:L153"/>
    <mergeCell ref="A148:B148"/>
    <mergeCell ref="K148:L148"/>
    <mergeCell ref="A149:B149"/>
    <mergeCell ref="K149:L149"/>
    <mergeCell ref="A150:B150"/>
    <mergeCell ref="K150:L150"/>
    <mergeCell ref="A145:B145"/>
    <mergeCell ref="K145:L145"/>
    <mergeCell ref="A146:B146"/>
    <mergeCell ref="K146:L146"/>
    <mergeCell ref="A147:B147"/>
    <mergeCell ref="K147:L147"/>
    <mergeCell ref="A142:B142"/>
    <mergeCell ref="K142:L142"/>
    <mergeCell ref="A143:B143"/>
    <mergeCell ref="K143:L143"/>
    <mergeCell ref="A144:B144"/>
    <mergeCell ref="K144:L144"/>
    <mergeCell ref="A139:B139"/>
    <mergeCell ref="K139:L139"/>
    <mergeCell ref="A140:B140"/>
    <mergeCell ref="K140:L140"/>
    <mergeCell ref="A141:B141"/>
    <mergeCell ref="K141:L141"/>
    <mergeCell ref="A136:B136"/>
    <mergeCell ref="K136:L136"/>
    <mergeCell ref="A137:B137"/>
    <mergeCell ref="K137:L137"/>
    <mergeCell ref="A138:B138"/>
    <mergeCell ref="K138:L138"/>
    <mergeCell ref="A133:B133"/>
    <mergeCell ref="K133:L133"/>
    <mergeCell ref="A134:B134"/>
    <mergeCell ref="K134:L134"/>
    <mergeCell ref="A135:B135"/>
    <mergeCell ref="K135:L135"/>
    <mergeCell ref="A130:B130"/>
    <mergeCell ref="K130:L130"/>
    <mergeCell ref="A131:B131"/>
    <mergeCell ref="K131:L131"/>
    <mergeCell ref="A132:B132"/>
    <mergeCell ref="K132:L132"/>
    <mergeCell ref="A127:B127"/>
    <mergeCell ref="K127:L127"/>
    <mergeCell ref="A128:B128"/>
    <mergeCell ref="K128:L128"/>
    <mergeCell ref="A129:B129"/>
    <mergeCell ref="K129:L129"/>
    <mergeCell ref="A124:B124"/>
    <mergeCell ref="K124:L124"/>
    <mergeCell ref="A125:B125"/>
    <mergeCell ref="K125:L125"/>
    <mergeCell ref="A126:B126"/>
    <mergeCell ref="K126:L126"/>
    <mergeCell ref="A121:B121"/>
    <mergeCell ref="K121:L121"/>
    <mergeCell ref="A122:B122"/>
    <mergeCell ref="K122:L122"/>
    <mergeCell ref="A123:B123"/>
    <mergeCell ref="K123:L123"/>
    <mergeCell ref="A118:B118"/>
    <mergeCell ref="K118:L118"/>
    <mergeCell ref="A119:B119"/>
    <mergeCell ref="K119:L119"/>
    <mergeCell ref="A120:B120"/>
    <mergeCell ref="K120:L120"/>
    <mergeCell ref="A115:B115"/>
    <mergeCell ref="K115:L115"/>
    <mergeCell ref="A116:B116"/>
    <mergeCell ref="K116:L116"/>
    <mergeCell ref="A117:B117"/>
    <mergeCell ref="K117:L117"/>
    <mergeCell ref="A112:B112"/>
    <mergeCell ref="K112:L112"/>
    <mergeCell ref="A113:B113"/>
    <mergeCell ref="K113:L113"/>
    <mergeCell ref="A114:B114"/>
    <mergeCell ref="K114:L114"/>
    <mergeCell ref="A109:B109"/>
    <mergeCell ref="K109:L109"/>
    <mergeCell ref="A110:B110"/>
    <mergeCell ref="K110:L110"/>
    <mergeCell ref="A111:B111"/>
    <mergeCell ref="K111:L111"/>
    <mergeCell ref="A106:B106"/>
    <mergeCell ref="K106:L106"/>
    <mergeCell ref="A107:B107"/>
    <mergeCell ref="K107:L107"/>
    <mergeCell ref="A108:B108"/>
    <mergeCell ref="K108:L108"/>
    <mergeCell ref="A103:B103"/>
    <mergeCell ref="K103:L103"/>
    <mergeCell ref="A104:B104"/>
    <mergeCell ref="K104:L104"/>
    <mergeCell ref="A105:B105"/>
    <mergeCell ref="K105:L105"/>
    <mergeCell ref="A100:B100"/>
    <mergeCell ref="K100:L100"/>
    <mergeCell ref="A101:B101"/>
    <mergeCell ref="K101:L101"/>
    <mergeCell ref="A102:B102"/>
    <mergeCell ref="K102:L102"/>
    <mergeCell ref="A97:B97"/>
    <mergeCell ref="K97:L97"/>
    <mergeCell ref="A98:B98"/>
    <mergeCell ref="K98:L98"/>
    <mergeCell ref="A99:B99"/>
    <mergeCell ref="K99:L99"/>
    <mergeCell ref="A94:B94"/>
    <mergeCell ref="K94:L94"/>
    <mergeCell ref="A95:B95"/>
    <mergeCell ref="K95:L95"/>
    <mergeCell ref="A96:B96"/>
    <mergeCell ref="K96:L96"/>
    <mergeCell ref="A91:B91"/>
    <mergeCell ref="K91:L91"/>
    <mergeCell ref="A92:B92"/>
    <mergeCell ref="K92:L92"/>
    <mergeCell ref="A93:B93"/>
    <mergeCell ref="K93:L93"/>
    <mergeCell ref="A88:B88"/>
    <mergeCell ref="K88:L88"/>
    <mergeCell ref="A89:B89"/>
    <mergeCell ref="K89:L89"/>
    <mergeCell ref="A90:B90"/>
    <mergeCell ref="K90:L90"/>
    <mergeCell ref="A85:B85"/>
    <mergeCell ref="K85:L85"/>
    <mergeCell ref="A86:B86"/>
    <mergeCell ref="K86:L86"/>
    <mergeCell ref="A87:B87"/>
    <mergeCell ref="K87:L87"/>
    <mergeCell ref="A82:B82"/>
    <mergeCell ref="K82:L82"/>
    <mergeCell ref="A83:B83"/>
    <mergeCell ref="K83:L83"/>
    <mergeCell ref="A84:B84"/>
    <mergeCell ref="K84:L84"/>
    <mergeCell ref="A79:B79"/>
    <mergeCell ref="K79:L79"/>
    <mergeCell ref="A80:B80"/>
    <mergeCell ref="K80:L80"/>
    <mergeCell ref="A81:B81"/>
    <mergeCell ref="K81:L81"/>
    <mergeCell ref="A76:B76"/>
    <mergeCell ref="K76:L76"/>
    <mergeCell ref="A77:B77"/>
    <mergeCell ref="K77:L77"/>
    <mergeCell ref="A78:B78"/>
    <mergeCell ref="K78:L78"/>
    <mergeCell ref="A73:B73"/>
    <mergeCell ref="K73:L73"/>
    <mergeCell ref="A74:B74"/>
    <mergeCell ref="K74:L74"/>
    <mergeCell ref="A75:B75"/>
    <mergeCell ref="K75:L75"/>
    <mergeCell ref="A70:B70"/>
    <mergeCell ref="K70:L70"/>
    <mergeCell ref="A71:B71"/>
    <mergeCell ref="K71:L71"/>
    <mergeCell ref="A72:B72"/>
    <mergeCell ref="K72:L72"/>
    <mergeCell ref="A67:B67"/>
    <mergeCell ref="K67:L67"/>
    <mergeCell ref="A68:B68"/>
    <mergeCell ref="K68:L68"/>
    <mergeCell ref="A69:B69"/>
    <mergeCell ref="K69:L69"/>
    <mergeCell ref="A64:B64"/>
    <mergeCell ref="K64:L64"/>
    <mergeCell ref="A65:B65"/>
    <mergeCell ref="K65:L65"/>
    <mergeCell ref="A66:B66"/>
    <mergeCell ref="K66:L66"/>
    <mergeCell ref="A61:B61"/>
    <mergeCell ref="K61:L61"/>
    <mergeCell ref="A62:B62"/>
    <mergeCell ref="K62:L62"/>
    <mergeCell ref="A63:B63"/>
    <mergeCell ref="K63:L63"/>
    <mergeCell ref="A58:B58"/>
    <mergeCell ref="K58:L58"/>
    <mergeCell ref="A59:B59"/>
    <mergeCell ref="K59:L59"/>
    <mergeCell ref="A60:B60"/>
    <mergeCell ref="K60:L60"/>
    <mergeCell ref="A55:B55"/>
    <mergeCell ref="K55:L55"/>
    <mergeCell ref="A56:B56"/>
    <mergeCell ref="K56:L56"/>
    <mergeCell ref="A57:B57"/>
    <mergeCell ref="K57:L57"/>
    <mergeCell ref="A52:B52"/>
    <mergeCell ref="K52:L52"/>
    <mergeCell ref="A53:B53"/>
    <mergeCell ref="K53:L53"/>
    <mergeCell ref="A54:B54"/>
    <mergeCell ref="K54:L54"/>
    <mergeCell ref="A49:B49"/>
    <mergeCell ref="K49:L49"/>
    <mergeCell ref="A50:B50"/>
    <mergeCell ref="K50:L50"/>
    <mergeCell ref="A51:B51"/>
    <mergeCell ref="K51:L51"/>
    <mergeCell ref="A46:B46"/>
    <mergeCell ref="K46:L46"/>
    <mergeCell ref="A47:B47"/>
    <mergeCell ref="K47:L47"/>
    <mergeCell ref="A48:B48"/>
    <mergeCell ref="K48:L48"/>
    <mergeCell ref="A43:B43"/>
    <mergeCell ref="K43:L43"/>
    <mergeCell ref="A44:B44"/>
    <mergeCell ref="K44:L44"/>
    <mergeCell ref="A45:B45"/>
    <mergeCell ref="K45:L45"/>
    <mergeCell ref="A40:B40"/>
    <mergeCell ref="K40:L40"/>
    <mergeCell ref="A41:B41"/>
    <mergeCell ref="K41:L41"/>
    <mergeCell ref="A42:B42"/>
    <mergeCell ref="K42:L42"/>
    <mergeCell ref="A37:B37"/>
    <mergeCell ref="K37:L37"/>
    <mergeCell ref="A38:B38"/>
    <mergeCell ref="K38:L38"/>
    <mergeCell ref="A39:B39"/>
    <mergeCell ref="K39:L39"/>
    <mergeCell ref="A34:B34"/>
    <mergeCell ref="K34:L34"/>
    <mergeCell ref="A35:B35"/>
    <mergeCell ref="K35:L35"/>
    <mergeCell ref="A36:B36"/>
    <mergeCell ref="K36:L36"/>
    <mergeCell ref="A31:B31"/>
    <mergeCell ref="K31:L31"/>
    <mergeCell ref="A32:B32"/>
    <mergeCell ref="K32:L32"/>
    <mergeCell ref="A33:B33"/>
    <mergeCell ref="K33:L33"/>
    <mergeCell ref="A28:B28"/>
    <mergeCell ref="K28:L28"/>
    <mergeCell ref="A29:B29"/>
    <mergeCell ref="K29:L29"/>
    <mergeCell ref="A30:B30"/>
    <mergeCell ref="K30:L30"/>
    <mergeCell ref="A25:B25"/>
    <mergeCell ref="K25:L25"/>
    <mergeCell ref="A26:B26"/>
    <mergeCell ref="K26:L26"/>
    <mergeCell ref="A27:B27"/>
    <mergeCell ref="K27:L27"/>
    <mergeCell ref="A21:L21"/>
    <mergeCell ref="K22:L22"/>
    <mergeCell ref="A23:B23"/>
    <mergeCell ref="K23:L23"/>
    <mergeCell ref="A24:B24"/>
    <mergeCell ref="K24:L24"/>
    <mergeCell ref="A15:L15"/>
    <mergeCell ref="A16:F16"/>
    <mergeCell ref="G16:H16"/>
    <mergeCell ref="A18:K18"/>
    <mergeCell ref="A19:K19"/>
    <mergeCell ref="A20:L20"/>
    <mergeCell ref="A8:L8"/>
    <mergeCell ref="A10:L10"/>
    <mergeCell ref="E11:F11"/>
    <mergeCell ref="A13:F13"/>
    <mergeCell ref="G13:H13"/>
    <mergeCell ref="A14:E14"/>
    <mergeCell ref="I14:J14"/>
    <mergeCell ref="A2:L2"/>
    <mergeCell ref="A3:L3"/>
    <mergeCell ref="A4:L4"/>
    <mergeCell ref="A5:L5"/>
    <mergeCell ref="A6:L6"/>
    <mergeCell ref="A7:L7"/>
  </mergeCells>
  <phoneticPr fontId="1" type="noConversion"/>
  <printOptions horizontalCentered="1"/>
  <pageMargins left="0.19652777777777777" right="0.19652777777777777" top="0.39374999999999999" bottom="0" header="0.39374999999999999" footer="0"/>
  <pageSetup paperSize="9" scale="58" firstPageNumber="0" fitToHeight="0"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具名範圍</vt:lpstr>
      </vt:variant>
      <vt:variant>
        <vt:i4>1</vt:i4>
      </vt:variant>
    </vt:vector>
  </HeadingPairs>
  <TitlesOfParts>
    <vt:vector size="2" baseType="lpstr">
      <vt:lpstr>115-1</vt:lpstr>
      <vt:lpstr>'115-1'!Print_Area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李家隆</dc:creator>
  <cp:lastModifiedBy>李家隆</cp:lastModifiedBy>
  <dcterms:created xsi:type="dcterms:W3CDTF">2026-04-15T09:55:18Z</dcterms:created>
  <dcterms:modified xsi:type="dcterms:W3CDTF">2026-04-15T09:55:57Z</dcterms:modified>
</cp:coreProperties>
</file>