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06740\Desktop\114年社福季報\114-2\"/>
    </mc:Choice>
  </mc:AlternateContent>
  <xr:revisionPtr revIDLastSave="0" documentId="13_ncr:1_{F5879F39-132D-46C1-9364-24ACCACEEFDA}" xr6:coauthVersionLast="47" xr6:coauthVersionMax="47" xr10:uidLastSave="{00000000-0000-0000-0000-000000000000}"/>
  <bookViews>
    <workbookView xWindow="-120" yWindow="-120" windowWidth="29040" windowHeight="15720" xr2:uid="{E351CB15-3DA6-4853-85A3-2256A6E79796}"/>
  </bookViews>
  <sheets>
    <sheet name="114-1 (3)" sheetId="1" r:id="rId1"/>
  </sheets>
  <definedNames>
    <definedName name="_xlnm._FilterDatabase" localSheetId="0" hidden="1">'114-1 (3)'!$A$24:$L$176</definedName>
    <definedName name="_xlnm.Print_Area" localSheetId="0">'114-1 (3)'!$A$2:$L$186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6" i="1" l="1"/>
  <c r="H166" i="1"/>
  <c r="G166" i="1"/>
  <c r="F166" i="1"/>
  <c r="E166" i="1"/>
  <c r="C166" i="1"/>
  <c r="H165" i="1"/>
  <c r="G165" i="1"/>
  <c r="F165" i="1"/>
  <c r="E165" i="1"/>
  <c r="D165" i="1"/>
  <c r="C165" i="1"/>
  <c r="I164" i="1"/>
  <c r="J164" i="1" s="1"/>
  <c r="I162" i="1"/>
  <c r="H162" i="1"/>
  <c r="G162" i="1"/>
  <c r="F162" i="1"/>
  <c r="E162" i="1"/>
  <c r="D162" i="1"/>
  <c r="C162" i="1"/>
  <c r="I161" i="1"/>
  <c r="J161" i="1" s="1"/>
  <c r="H158" i="1"/>
  <c r="H159" i="1" s="1"/>
  <c r="G158" i="1"/>
  <c r="G159" i="1" s="1"/>
  <c r="F158" i="1"/>
  <c r="F159" i="1" s="1"/>
  <c r="E158" i="1"/>
  <c r="I158" i="1" s="1"/>
  <c r="I159" i="1" s="1"/>
  <c r="D158" i="1"/>
  <c r="D159" i="1" s="1"/>
  <c r="C158" i="1"/>
  <c r="C159" i="1" s="1"/>
  <c r="H156" i="1"/>
  <c r="G156" i="1"/>
  <c r="F156" i="1"/>
  <c r="E156" i="1"/>
  <c r="D156" i="1"/>
  <c r="I155" i="1"/>
  <c r="J155" i="1" s="1"/>
  <c r="I154" i="1"/>
  <c r="C154" i="1"/>
  <c r="C156" i="1" s="1"/>
  <c r="I153" i="1"/>
  <c r="J153" i="1" s="1"/>
  <c r="I152" i="1"/>
  <c r="J152" i="1" s="1"/>
  <c r="I151" i="1"/>
  <c r="J151" i="1" s="1"/>
  <c r="I150" i="1"/>
  <c r="H148" i="1"/>
  <c r="G148" i="1"/>
  <c r="F148" i="1"/>
  <c r="E148" i="1"/>
  <c r="D148" i="1"/>
  <c r="I147" i="1"/>
  <c r="C147" i="1"/>
  <c r="I146" i="1"/>
  <c r="J146" i="1" s="1"/>
  <c r="I145" i="1"/>
  <c r="J145" i="1" s="1"/>
  <c r="I144" i="1"/>
  <c r="J144" i="1" s="1"/>
  <c r="I143" i="1"/>
  <c r="J143" i="1" s="1"/>
  <c r="I142" i="1"/>
  <c r="J142" i="1" s="1"/>
  <c r="I141" i="1"/>
  <c r="C141" i="1"/>
  <c r="I140" i="1"/>
  <c r="J140" i="1" s="1"/>
  <c r="I139" i="1"/>
  <c r="J139" i="1" s="1"/>
  <c r="I138" i="1"/>
  <c r="J138" i="1" s="1"/>
  <c r="I137" i="1"/>
  <c r="J137" i="1" s="1"/>
  <c r="C137" i="1"/>
  <c r="I136" i="1"/>
  <c r="J136" i="1" s="1"/>
  <c r="I135" i="1"/>
  <c r="J135" i="1" s="1"/>
  <c r="I134" i="1"/>
  <c r="C134" i="1"/>
  <c r="I133" i="1"/>
  <c r="J133" i="1" s="1"/>
  <c r="I132" i="1"/>
  <c r="J132" i="1" s="1"/>
  <c r="I131" i="1"/>
  <c r="J131" i="1" s="1"/>
  <c r="I130" i="1"/>
  <c r="C130" i="1"/>
  <c r="I129" i="1"/>
  <c r="C129" i="1"/>
  <c r="I128" i="1"/>
  <c r="J128" i="1" s="1"/>
  <c r="I127" i="1"/>
  <c r="C127" i="1"/>
  <c r="J126" i="1"/>
  <c r="I126" i="1"/>
  <c r="H124" i="1"/>
  <c r="G124" i="1"/>
  <c r="F124" i="1"/>
  <c r="E124" i="1"/>
  <c r="D124" i="1"/>
  <c r="I123" i="1"/>
  <c r="C123" i="1"/>
  <c r="I122" i="1"/>
  <c r="C122" i="1"/>
  <c r="I121" i="1"/>
  <c r="C121" i="1"/>
  <c r="I120" i="1"/>
  <c r="C120" i="1"/>
  <c r="I119" i="1"/>
  <c r="J119" i="1" s="1"/>
  <c r="C119" i="1"/>
  <c r="I118" i="1"/>
  <c r="J118" i="1" s="1"/>
  <c r="I117" i="1"/>
  <c r="J117" i="1" s="1"/>
  <c r="I116" i="1"/>
  <c r="J116" i="1" s="1"/>
  <c r="C116" i="1"/>
  <c r="I115" i="1"/>
  <c r="J115" i="1" s="1"/>
  <c r="I114" i="1"/>
  <c r="J114" i="1" s="1"/>
  <c r="I113" i="1"/>
  <c r="C113" i="1"/>
  <c r="I112" i="1"/>
  <c r="C112" i="1"/>
  <c r="I111" i="1"/>
  <c r="C111" i="1"/>
  <c r="I110" i="1"/>
  <c r="C110" i="1"/>
  <c r="H108" i="1"/>
  <c r="G108" i="1"/>
  <c r="F108" i="1"/>
  <c r="E108" i="1"/>
  <c r="D108" i="1"/>
  <c r="I107" i="1"/>
  <c r="C107" i="1"/>
  <c r="I106" i="1"/>
  <c r="J106" i="1" s="1"/>
  <c r="I105" i="1"/>
  <c r="C105" i="1"/>
  <c r="I104" i="1"/>
  <c r="J104" i="1" s="1"/>
  <c r="I103" i="1"/>
  <c r="C103" i="1"/>
  <c r="I102" i="1"/>
  <c r="C102" i="1"/>
  <c r="I101" i="1"/>
  <c r="C101" i="1"/>
  <c r="I100" i="1"/>
  <c r="C100" i="1"/>
  <c r="I99" i="1"/>
  <c r="C99" i="1"/>
  <c r="I98" i="1"/>
  <c r="C98" i="1"/>
  <c r="I97" i="1"/>
  <c r="C97" i="1"/>
  <c r="I96" i="1"/>
  <c r="J96" i="1" s="1"/>
  <c r="I95" i="1"/>
  <c r="C95" i="1"/>
  <c r="I94" i="1"/>
  <c r="C94" i="1"/>
  <c r="J94" i="1" s="1"/>
  <c r="I93" i="1"/>
  <c r="C93" i="1"/>
  <c r="I92" i="1"/>
  <c r="J92" i="1" s="1"/>
  <c r="I91" i="1"/>
  <c r="C91" i="1"/>
  <c r="I90" i="1"/>
  <c r="J90" i="1" s="1"/>
  <c r="I89" i="1"/>
  <c r="C89" i="1"/>
  <c r="J89" i="1" s="1"/>
  <c r="I88" i="1"/>
  <c r="C88" i="1"/>
  <c r="I87" i="1"/>
  <c r="C87" i="1"/>
  <c r="J87" i="1" s="1"/>
  <c r="I86" i="1"/>
  <c r="C86" i="1"/>
  <c r="I85" i="1"/>
  <c r="C85" i="1"/>
  <c r="I84" i="1"/>
  <c r="J84" i="1" s="1"/>
  <c r="I83" i="1"/>
  <c r="J83" i="1" s="1"/>
  <c r="I82" i="1"/>
  <c r="C82" i="1"/>
  <c r="I81" i="1"/>
  <c r="H79" i="1"/>
  <c r="G79" i="1"/>
  <c r="F79" i="1"/>
  <c r="E79" i="1"/>
  <c r="D79" i="1"/>
  <c r="I78" i="1"/>
  <c r="J78" i="1" s="1"/>
  <c r="I77" i="1"/>
  <c r="C77" i="1"/>
  <c r="I76" i="1"/>
  <c r="J76" i="1" s="1"/>
  <c r="I75" i="1"/>
  <c r="C75" i="1"/>
  <c r="J75" i="1" s="1"/>
  <c r="I74" i="1"/>
  <c r="J74" i="1" s="1"/>
  <c r="I73" i="1"/>
  <c r="J73" i="1" s="1"/>
  <c r="I72" i="1"/>
  <c r="C72" i="1"/>
  <c r="I71" i="1"/>
  <c r="J71" i="1" s="1"/>
  <c r="I70" i="1"/>
  <c r="J70" i="1" s="1"/>
  <c r="I69" i="1"/>
  <c r="J69" i="1" s="1"/>
  <c r="I68" i="1"/>
  <c r="J68" i="1" s="1"/>
  <c r="I67" i="1"/>
  <c r="C67" i="1"/>
  <c r="I66" i="1"/>
  <c r="C66" i="1"/>
  <c r="I65" i="1"/>
  <c r="J65" i="1" s="1"/>
  <c r="I64" i="1"/>
  <c r="J64" i="1" s="1"/>
  <c r="I63" i="1"/>
  <c r="C63" i="1"/>
  <c r="I62" i="1"/>
  <c r="C62" i="1"/>
  <c r="I61" i="1"/>
  <c r="C61" i="1"/>
  <c r="H59" i="1"/>
  <c r="G59" i="1"/>
  <c r="F59" i="1"/>
  <c r="D59" i="1"/>
  <c r="I58" i="1"/>
  <c r="J58" i="1" s="1"/>
  <c r="I57" i="1"/>
  <c r="J57" i="1" s="1"/>
  <c r="I56" i="1"/>
  <c r="J56" i="1" s="1"/>
  <c r="I55" i="1"/>
  <c r="J55" i="1" s="1"/>
  <c r="I54" i="1"/>
  <c r="J54" i="1" s="1"/>
  <c r="E53" i="1"/>
  <c r="E59" i="1" s="1"/>
  <c r="C53" i="1"/>
  <c r="C59" i="1" s="1"/>
  <c r="H51" i="1"/>
  <c r="G51" i="1"/>
  <c r="F51" i="1"/>
  <c r="E51" i="1"/>
  <c r="D51" i="1"/>
  <c r="I50" i="1"/>
  <c r="J50" i="1" s="1"/>
  <c r="I49" i="1"/>
  <c r="J49" i="1" s="1"/>
  <c r="I48" i="1"/>
  <c r="C48" i="1"/>
  <c r="I47" i="1"/>
  <c r="C47" i="1"/>
  <c r="I46" i="1"/>
  <c r="J46" i="1" s="1"/>
  <c r="I45" i="1"/>
  <c r="J45" i="1" s="1"/>
  <c r="I44" i="1"/>
  <c r="J44" i="1" s="1"/>
  <c r="I43" i="1"/>
  <c r="J43" i="1" s="1"/>
  <c r="C43" i="1"/>
  <c r="I42" i="1"/>
  <c r="J42" i="1" s="1"/>
  <c r="I41" i="1"/>
  <c r="J41" i="1" s="1"/>
  <c r="I40" i="1"/>
  <c r="C40" i="1"/>
  <c r="I39" i="1"/>
  <c r="C39" i="1"/>
  <c r="I38" i="1"/>
  <c r="J38" i="1" s="1"/>
  <c r="I37" i="1"/>
  <c r="J37" i="1" s="1"/>
  <c r="I36" i="1"/>
  <c r="C36" i="1"/>
  <c r="I35" i="1"/>
  <c r="J35" i="1" s="1"/>
  <c r="I34" i="1"/>
  <c r="J34" i="1" s="1"/>
  <c r="I33" i="1"/>
  <c r="J33" i="1" s="1"/>
  <c r="I32" i="1"/>
  <c r="J32" i="1" s="1"/>
  <c r="I31" i="1"/>
  <c r="C31" i="1"/>
  <c r="J31" i="1" s="1"/>
  <c r="I30" i="1"/>
  <c r="C30" i="1"/>
  <c r="I29" i="1"/>
  <c r="C29" i="1"/>
  <c r="I28" i="1"/>
  <c r="C28" i="1"/>
  <c r="I27" i="1"/>
  <c r="C27" i="1"/>
  <c r="I26" i="1"/>
  <c r="F14" i="1"/>
  <c r="G13" i="1"/>
  <c r="J105" i="1" l="1"/>
  <c r="J47" i="1"/>
  <c r="J127" i="1"/>
  <c r="J48" i="1"/>
  <c r="J97" i="1"/>
  <c r="J30" i="1"/>
  <c r="J141" i="1"/>
  <c r="J36" i="1"/>
  <c r="J62" i="1"/>
  <c r="J130" i="1"/>
  <c r="J121" i="1"/>
  <c r="J100" i="1"/>
  <c r="J123" i="1"/>
  <c r="J95" i="1"/>
  <c r="C51" i="1"/>
  <c r="J91" i="1"/>
  <c r="J88" i="1"/>
  <c r="J77" i="1"/>
  <c r="J110" i="1"/>
  <c r="J111" i="1"/>
  <c r="J40" i="1"/>
  <c r="J113" i="1"/>
  <c r="D167" i="1"/>
  <c r="J72" i="1"/>
  <c r="C79" i="1"/>
  <c r="J122" i="1"/>
  <c r="J63" i="1"/>
  <c r="J101" i="1"/>
  <c r="I156" i="1"/>
  <c r="J156" i="1" s="1"/>
  <c r="H167" i="1"/>
  <c r="I124" i="1"/>
  <c r="J98" i="1"/>
  <c r="J85" i="1"/>
  <c r="J103" i="1"/>
  <c r="J120" i="1"/>
  <c r="E159" i="1"/>
  <c r="E167" i="1" s="1"/>
  <c r="G167" i="1"/>
  <c r="J93" i="1"/>
  <c r="J28" i="1"/>
  <c r="J66" i="1"/>
  <c r="I108" i="1"/>
  <c r="J39" i="1"/>
  <c r="I79" i="1"/>
  <c r="J81" i="1"/>
  <c r="J99" i="1"/>
  <c r="J134" i="1"/>
  <c r="J27" i="1"/>
  <c r="F167" i="1"/>
  <c r="I51" i="1"/>
  <c r="J67" i="1"/>
  <c r="J86" i="1"/>
  <c r="C148" i="1"/>
  <c r="J147" i="1"/>
  <c r="J129" i="1"/>
  <c r="J102" i="1"/>
  <c r="J29" i="1"/>
  <c r="C108" i="1"/>
  <c r="C124" i="1"/>
  <c r="J107" i="1"/>
  <c r="J79" i="1"/>
  <c r="J26" i="1"/>
  <c r="I165" i="1"/>
  <c r="J82" i="1"/>
  <c r="J112" i="1"/>
  <c r="I53" i="1"/>
  <c r="J61" i="1"/>
  <c r="I148" i="1"/>
  <c r="J154" i="1"/>
  <c r="J150" i="1"/>
  <c r="J51" i="1" l="1"/>
  <c r="C167" i="1"/>
  <c r="J108" i="1"/>
  <c r="J148" i="1"/>
  <c r="J124" i="1"/>
  <c r="J53" i="1"/>
  <c r="I59" i="1"/>
  <c r="J59" i="1" s="1"/>
  <c r="I167" i="1" l="1"/>
  <c r="J167" i="1" l="1"/>
  <c r="H173" i="1"/>
</calcChain>
</file>

<file path=xl/sharedStrings.xml><?xml version="1.0" encoding="utf-8"?>
<sst xmlns="http://schemas.openxmlformats.org/spreadsheetml/2006/main" count="308" uniqueCount="254">
  <si>
    <t>澎湖縣政府</t>
    <phoneticPr fontId="2" type="noConversion"/>
  </si>
  <si>
    <t>公益彩券盈餘分配辦理社會福利事業情形季報表</t>
    <phoneticPr fontId="2" type="noConversion"/>
  </si>
  <si>
    <r>
      <t>中華民國</t>
    </r>
    <r>
      <rPr>
        <b/>
        <sz val="14"/>
        <color rgb="FFFF0000"/>
        <rFont val="標楷體"/>
        <family val="4"/>
        <charset val="136"/>
      </rPr>
      <t>114</t>
    </r>
    <r>
      <rPr>
        <b/>
        <sz val="14"/>
        <color indexed="8"/>
        <rFont val="標楷體"/>
        <family val="4"/>
        <charset val="136"/>
      </rPr>
      <t>年</t>
    </r>
    <r>
      <rPr>
        <b/>
        <sz val="14"/>
        <color rgb="FFFF0000"/>
        <rFont val="標楷體"/>
        <family val="4"/>
        <charset val="136"/>
      </rPr>
      <t>4</t>
    </r>
    <r>
      <rPr>
        <b/>
        <sz val="14"/>
        <color indexed="8"/>
        <rFont val="標楷體"/>
        <family val="4"/>
        <charset val="136"/>
      </rPr>
      <t>月份至</t>
    </r>
    <r>
      <rPr>
        <b/>
        <sz val="14"/>
        <color rgb="FFFF0000"/>
        <rFont val="標楷體"/>
        <family val="4"/>
        <charset val="136"/>
      </rPr>
      <t>6</t>
    </r>
    <r>
      <rPr>
        <b/>
        <sz val="14"/>
        <color indexed="8"/>
        <rFont val="標楷體"/>
        <family val="4"/>
        <charset val="136"/>
      </rPr>
      <t>月份（</t>
    </r>
    <r>
      <rPr>
        <b/>
        <sz val="14"/>
        <color rgb="FFFF0000"/>
        <rFont val="標楷體"/>
        <family val="4"/>
        <charset val="136"/>
      </rPr>
      <t>114</t>
    </r>
    <r>
      <rPr>
        <b/>
        <sz val="14"/>
        <color indexed="8"/>
        <rFont val="標楷體"/>
        <family val="4"/>
        <charset val="136"/>
      </rPr>
      <t>年度第</t>
    </r>
    <r>
      <rPr>
        <b/>
        <sz val="14"/>
        <color rgb="FFFF0000"/>
        <rFont val="標楷體"/>
        <family val="4"/>
        <charset val="136"/>
      </rPr>
      <t>2</t>
    </r>
    <r>
      <rPr>
        <b/>
        <sz val="14"/>
        <color indexed="8"/>
        <rFont val="標楷體"/>
        <family val="4"/>
        <charset val="136"/>
      </rPr>
      <t>季）</t>
    </r>
    <phoneticPr fontId="2" type="noConversion"/>
  </si>
  <si>
    <t>一、公益彩券盈餘分配款項管理方式：□基金管理■收支併列。</t>
    <phoneticPr fontId="2" type="noConversion"/>
  </si>
  <si>
    <t>二、公庫向公益彩券盈餘基金或專戶調借情形：</t>
  </si>
  <si>
    <t xml:space="preserve">    ■納入集中支付(計息：■是、□否)</t>
    <phoneticPr fontId="2" type="noConversion"/>
  </si>
  <si>
    <t xml:space="preserve">    □未納入集中支付</t>
  </si>
  <si>
    <t xml:space="preserve">      □未調借</t>
  </si>
  <si>
    <r>
      <t xml:space="preserve">      □調借，計息：□是、□否，未歸墊金額總計</t>
    </r>
    <r>
      <rPr>
        <u/>
        <sz val="14"/>
        <color indexed="8"/>
        <rFont val="標楷體"/>
        <family val="4"/>
        <charset val="136"/>
      </rPr>
      <t xml:space="preserve">              </t>
    </r>
    <r>
      <rPr>
        <sz val="14"/>
        <color indexed="8"/>
        <rFont val="標楷體"/>
        <family val="4"/>
        <charset val="136"/>
      </rPr>
      <t>。</t>
    </r>
  </si>
  <si>
    <r>
      <t>三、本年度第</t>
    </r>
    <r>
      <rPr>
        <sz val="14"/>
        <color rgb="FFFF0000"/>
        <rFont val="標楷體"/>
        <family val="4"/>
        <charset val="136"/>
      </rPr>
      <t>2</t>
    </r>
    <r>
      <rPr>
        <sz val="14"/>
        <color indexed="8"/>
        <rFont val="標楷體"/>
        <family val="4"/>
        <charset val="136"/>
      </rPr>
      <t>季，彩券盈餘分配數為</t>
    </r>
    <phoneticPr fontId="2" type="noConversion"/>
  </si>
  <si>
    <t>元。</t>
    <phoneticPr fontId="2" type="noConversion"/>
  </si>
  <si>
    <t>四、以前年度剩餘款處理情形：</t>
  </si>
  <si>
    <r>
      <t>（一）截至去年度12月31日止，公益彩券盈餘分配待運用數為</t>
    </r>
    <r>
      <rPr>
        <b/>
        <sz val="14"/>
        <color indexed="8"/>
        <rFont val="標楷體"/>
        <family val="4"/>
        <charset val="136"/>
      </rPr>
      <t>(a)</t>
    </r>
    <r>
      <rPr>
        <b/>
        <u/>
        <sz val="14"/>
        <color indexed="8"/>
        <rFont val="標楷體"/>
        <family val="4"/>
        <charset val="136"/>
      </rPr>
      <t xml:space="preserve"> </t>
    </r>
    <phoneticPr fontId="2" type="noConversion"/>
  </si>
  <si>
    <r>
      <t xml:space="preserve">   （a1）本縣</t>
    </r>
    <r>
      <rPr>
        <b/>
        <u/>
        <sz val="13"/>
        <color theme="3" tint="0.39997558519241921"/>
        <rFont val="標楷體"/>
        <family val="4"/>
        <charset val="136"/>
      </rPr>
      <t>113年度</t>
    </r>
    <r>
      <rPr>
        <sz val="13"/>
        <color indexed="8"/>
        <rFont val="標楷體"/>
        <family val="4"/>
        <charset val="136"/>
      </rPr>
      <t>公益彩劵盈餘專戶利息為</t>
    </r>
    <phoneticPr fontId="2" type="noConversion"/>
  </si>
  <si>
    <r>
      <t>（二）處理情形：</t>
    </r>
    <r>
      <rPr>
        <b/>
        <u/>
        <sz val="14"/>
        <color rgb="FFFF0000"/>
        <rFont val="標楷體"/>
        <family val="4"/>
        <charset val="136"/>
      </rPr>
      <t>存入專戶並配合年度預算執行</t>
    </r>
    <r>
      <rPr>
        <sz val="14"/>
        <color indexed="8"/>
        <rFont val="標楷體"/>
        <family val="4"/>
        <charset val="136"/>
      </rPr>
      <t>。</t>
    </r>
    <phoneticPr fontId="2" type="noConversion"/>
  </si>
  <si>
    <r>
      <t>五、本年度1月起至本季截止，累計公益彩券盈餘分配數為</t>
    </r>
    <r>
      <rPr>
        <b/>
        <sz val="14"/>
        <color indexed="8"/>
        <rFont val="標楷體"/>
        <family val="4"/>
        <charset val="136"/>
      </rPr>
      <t xml:space="preserve">(b) </t>
    </r>
    <r>
      <rPr>
        <b/>
        <u/>
        <sz val="14"/>
        <color indexed="8"/>
        <rFont val="標楷體"/>
        <family val="4"/>
        <charset val="136"/>
      </rPr>
      <t xml:space="preserve">                      </t>
    </r>
    <phoneticPr fontId="2" type="noConversion"/>
  </si>
  <si>
    <t>六、本年度公益彩券盈餘分配預算編列情形：</t>
  </si>
  <si>
    <r>
      <t xml:space="preserve">（一）歲入預算來源原編 </t>
    </r>
    <r>
      <rPr>
        <b/>
        <u/>
        <sz val="13"/>
        <color rgb="FFFF0000"/>
        <rFont val="標楷體"/>
        <family val="4"/>
        <charset val="136"/>
      </rPr>
      <t>219,272,195</t>
    </r>
    <r>
      <rPr>
        <sz val="13"/>
        <rFont val="標楷體"/>
        <family val="4"/>
        <charset val="136"/>
      </rPr>
      <t>元，合計</t>
    </r>
    <r>
      <rPr>
        <b/>
        <u/>
        <sz val="13"/>
        <color theme="4" tint="-0.249977111117893"/>
        <rFont val="標楷體"/>
        <family val="4"/>
        <charset val="136"/>
      </rPr>
      <t>219,272,195</t>
    </r>
    <r>
      <rPr>
        <sz val="13"/>
        <rFont val="標楷體"/>
        <family val="4"/>
        <charset val="136"/>
      </rPr>
      <t>元。</t>
    </r>
    <phoneticPr fontId="2" type="noConversion"/>
  </si>
  <si>
    <r>
      <t xml:space="preserve">（二）歲出預算用途原編 </t>
    </r>
    <r>
      <rPr>
        <b/>
        <u/>
        <sz val="13"/>
        <color rgb="FFFF0000"/>
        <rFont val="標楷體"/>
        <family val="4"/>
        <charset val="136"/>
      </rPr>
      <t>219,272,195元，</t>
    </r>
    <r>
      <rPr>
        <b/>
        <u/>
        <sz val="13"/>
        <color theme="1"/>
        <rFont val="標楷體"/>
        <family val="4"/>
        <charset val="136"/>
      </rPr>
      <t>合計</t>
    </r>
    <r>
      <rPr>
        <b/>
        <u/>
        <sz val="13"/>
        <color theme="4" tint="-0.249977111117893"/>
        <rFont val="標楷體"/>
        <family val="4"/>
        <charset val="136"/>
      </rPr>
      <t>219,272,195</t>
    </r>
    <r>
      <rPr>
        <b/>
        <u/>
        <sz val="13"/>
        <color theme="1" tint="0.14999847407452621"/>
        <rFont val="標楷體"/>
        <family val="4"/>
        <charset val="136"/>
      </rPr>
      <t>元。</t>
    </r>
    <r>
      <rPr>
        <sz val="13"/>
        <rFont val="標楷體"/>
        <family val="4"/>
        <charset val="136"/>
      </rPr>
      <t xml:space="preserve">
     </t>
    </r>
    <r>
      <rPr>
        <b/>
        <u/>
        <sz val="13"/>
        <color rgb="FFFF0000"/>
        <rFont val="標楷體"/>
        <family val="4"/>
        <charset val="136"/>
      </rPr>
      <t xml:space="preserve"> 以前年度保留款7,581,263元。</t>
    </r>
    <phoneticPr fontId="2" type="noConversion"/>
  </si>
  <si>
    <r>
      <t>（三）收支併列：總預算歲出預算社會福利科目金額</t>
    </r>
    <r>
      <rPr>
        <b/>
        <u/>
        <sz val="14"/>
        <color theme="4" tint="-0.249977111117893"/>
        <rFont val="標楷體"/>
        <family val="4"/>
        <charset val="136"/>
      </rPr>
      <t>(d)1,937,229,000元</t>
    </r>
    <r>
      <rPr>
        <sz val="14"/>
        <color indexed="8"/>
        <rFont val="標楷體"/>
        <family val="4"/>
        <charset val="136"/>
      </rPr>
      <t>，運用公益彩券盈餘占歲出預算社會福利財源比率</t>
    </r>
    <r>
      <rPr>
        <b/>
        <u/>
        <sz val="14"/>
        <color theme="4" tint="-0.249977111117893"/>
        <rFont val="標楷體"/>
        <family val="4"/>
        <charset val="136"/>
      </rPr>
      <t>(c)/(d)11.31%。</t>
    </r>
    <phoneticPr fontId="2" type="noConversion"/>
  </si>
  <si>
    <t>（四）第2季季報表另檢附「公益彩券盈餘分配支用編列情形表」如後。(公益彩券盈餘分配支用編列情形表係揭露公益彩券運用計畫財源編列情形，至是否符合相關運用規範，仍以年度考核審認結果為準。)</t>
    <phoneticPr fontId="2" type="noConversion"/>
  </si>
  <si>
    <t>七、公益彩券盈餘分配之執行數：</t>
  </si>
  <si>
    <t>單位：新臺幣元</t>
  </si>
  <si>
    <t>項目</t>
  </si>
  <si>
    <t>本年度預算數</t>
  </si>
  <si>
    <t>以前年度保留數</t>
  </si>
  <si>
    <t>第1季執行數</t>
  </si>
  <si>
    <t>第2季執行數</t>
  </si>
  <si>
    <t>第3季執行數</t>
  </si>
  <si>
    <t>第4季執行數</t>
  </si>
  <si>
    <r>
      <t xml:space="preserve">本年度1月起至本季截止累計執行數
</t>
    </r>
    <r>
      <rPr>
        <sz val="11"/>
        <color indexed="10"/>
        <rFont val="標楷體"/>
        <family val="4"/>
        <charset val="136"/>
      </rPr>
      <t>（詳填表說明3）</t>
    </r>
  </si>
  <si>
    <t>執行率（%）</t>
  </si>
  <si>
    <r>
      <t xml:space="preserve">備註
</t>
    </r>
    <r>
      <rPr>
        <sz val="11"/>
        <color indexed="10"/>
        <rFont val="標楷體"/>
        <family val="4"/>
        <charset val="136"/>
      </rPr>
      <t>（詳填表說明4）</t>
    </r>
  </si>
  <si>
    <t>（一）福利服務</t>
  </si>
  <si>
    <t>1.兒童及少年福利</t>
  </si>
  <si>
    <t>(1)辦理低收入戶暨弱勢兒童少年醫療補助</t>
    <phoneticPr fontId="2" type="noConversion"/>
  </si>
  <si>
    <t>依個案實際申請樹辦理撥付。</t>
    <phoneticPr fontId="2" type="noConversion"/>
  </si>
  <si>
    <t>(2)辦理親屬安置服務計畫</t>
    <phoneticPr fontId="2" type="noConversion"/>
  </si>
  <si>
    <t>(3)辦理脆弱兒少及家庭社區支持服務方案(守護家庭小衛星)</t>
    <phoneticPr fontId="2" type="noConversion"/>
  </si>
  <si>
    <t>賡續執行中，依業務推動辦理核銷。</t>
    <phoneticPr fontId="2" type="noConversion"/>
  </si>
  <si>
    <t>(4)辦理育兒指導服務方案。</t>
    <phoneticPr fontId="2" type="noConversion"/>
  </si>
  <si>
    <t>因人員異動未於上半年補足，致執行率未達。</t>
    <phoneticPr fontId="2" type="noConversion"/>
  </si>
  <si>
    <t>(5)社會福利服務中心館舍維護費用(望安+兒少)</t>
    <phoneticPr fontId="2" type="noConversion"/>
  </si>
  <si>
    <t>依館舍實際需求採購核銷。</t>
    <phoneticPr fontId="2" type="noConversion"/>
  </si>
  <si>
    <t>(6)辦理我國少子女化對策計畫</t>
    <phoneticPr fontId="2" type="noConversion"/>
  </si>
  <si>
    <t>因人員異動，致執行率未達。</t>
    <phoneticPr fontId="2" type="noConversion"/>
  </si>
  <si>
    <t>(7)辦理居家托育服務中心暨定點臨托計畫</t>
    <phoneticPr fontId="2" type="noConversion"/>
  </si>
  <si>
    <t>計畫持續執行，依契約期程核銷。</t>
    <phoneticPr fontId="2" type="noConversion"/>
  </si>
  <si>
    <t>(8)充實兒少福利中心圖書雜誌及兒少發展常態性活動</t>
    <phoneticPr fontId="2" type="noConversion"/>
  </si>
  <si>
    <t>規劃辦理中。</t>
    <phoneticPr fontId="2" type="noConversion"/>
  </si>
  <si>
    <t>(9)辦理弱勢兒童課後照顧服務</t>
    <phoneticPr fontId="2" type="noConversion"/>
  </si>
  <si>
    <t>依實際申請需求撥付。</t>
    <phoneticPr fontId="2" type="noConversion"/>
  </si>
  <si>
    <t>(10)辦理青少年福利各項服務活動費、青年培力活動費及兒少安置機構教育人員訓練</t>
    <phoneticPr fontId="2" type="noConversion"/>
  </si>
  <si>
    <t>(11)辦理強化社會安全網-社會福利服務中心服務業務</t>
    <phoneticPr fontId="2" type="noConversion"/>
  </si>
  <si>
    <t>持續辦理中，方案陸續執行，俟辦理完成沖銷。</t>
    <phoneticPr fontId="2" type="noConversion"/>
  </si>
  <si>
    <t>(12)辦理兒少福利各項服務評鑑及輔導等相關費用。</t>
    <phoneticPr fontId="2" type="noConversion"/>
  </si>
  <si>
    <t>1.由(13)勻入10萬。</t>
    <phoneticPr fontId="2" type="noConversion"/>
  </si>
  <si>
    <t>(13)辦理弱勢兒少藝文休閒活動</t>
    <phoneticPr fontId="2" type="noConversion"/>
  </si>
  <si>
    <t>1.勻出10萬至(12)。
2.規劃辦理中，活動預於第3季辦理。</t>
    <phoneticPr fontId="2" type="noConversion"/>
  </si>
  <si>
    <t>(14)補助團體辦理兒少及家庭社區支持服務方案(守護家庭小衛星)</t>
    <phoneticPr fontId="2" type="noConversion"/>
  </si>
  <si>
    <t>持續執行中，計劃按季核銷，現執行數為上一季執行數，第2季數額預於第3季沖銷。</t>
  </si>
  <si>
    <t>(15)補助團體辦理社區托育服務方案費</t>
    <phoneticPr fontId="2" type="noConversion"/>
  </si>
  <si>
    <t>(16)補助團體辦理家庭支持服務資源布建方案計畫。</t>
    <phoneticPr fontId="2" type="noConversion"/>
  </si>
  <si>
    <t>持續執行中，單位已請款，尚未核撥。</t>
    <phoneticPr fontId="2" type="noConversion"/>
  </si>
  <si>
    <t>(17)補助團體辦理托育資源中心計畫</t>
    <phoneticPr fontId="2" type="noConversion"/>
  </si>
  <si>
    <t>(18)補助機(關)構及團體辦理辦理兒童及少年機構安置、家庭寄養及親職輔導服務。</t>
    <phoneticPr fontId="2" type="noConversion"/>
  </si>
  <si>
    <t>(19)補助辦理弱勢少年自立生活方案</t>
    <phoneticPr fontId="2" type="noConversion"/>
  </si>
  <si>
    <t>(20)辦理保母技術士考照交通住宿補助費。</t>
    <phoneticPr fontId="2" type="noConversion"/>
  </si>
  <si>
    <t>(21)遲緩兒在地化早期療育計畫</t>
    <phoneticPr fontId="2" type="noConversion"/>
  </si>
  <si>
    <t>因人員變動尚在辦招聘中。另外,獎補助經費尚在核銷中,故執行率未達。</t>
    <phoneticPr fontId="2" type="noConversion"/>
  </si>
  <si>
    <t>(22)約聘社會工作員辦理強化社會安全網-社會福利服務中心人事費(含交通費)</t>
    <phoneticPr fontId="2" type="noConversion"/>
  </si>
  <si>
    <t>持續執行，部分工作人員未補齊，第1季未補齊人員預算已辦理追減。</t>
    <phoneticPr fontId="2" type="noConversion"/>
  </si>
  <si>
    <t>(23)社會福利服務中心充實設施設備及修繕費。</t>
    <phoneticPr fontId="2" type="noConversion"/>
  </si>
  <si>
    <t>(24)補助協會等團體辦理公共托育修繕及開辦設施設備費</t>
    <phoneticPr fontId="2" type="noConversion"/>
  </si>
  <si>
    <t>(25)辦理定點臨托設施設備費</t>
    <phoneticPr fontId="2" type="noConversion"/>
  </si>
  <si>
    <t>小計</t>
  </si>
  <si>
    <t>2.婦女福利</t>
    <phoneticPr fontId="2" type="noConversion"/>
  </si>
  <si>
    <t>(1)辦理新住民整合型社區服務據點、新住民家庭服務計畫及新住民社區參與</t>
    <phoneticPr fontId="2" type="noConversion"/>
  </si>
  <si>
    <t>(2)辦理性別平等業務</t>
    <phoneticPr fontId="2" type="noConversion"/>
  </si>
  <si>
    <t>(3)辦理婦女福利服務中心及性別友善等相關計畫。</t>
    <phoneticPr fontId="2" type="noConversion"/>
  </si>
  <si>
    <t>(4)辦理婦女節慶相關活動</t>
    <phoneticPr fontId="2" type="noConversion"/>
  </si>
  <si>
    <t>(5)補助團體辦理新住民整合型社區服務據點</t>
    <phoneticPr fontId="2" type="noConversion"/>
  </si>
  <si>
    <t>(6)補助團體辦理婦女相關計畫配合款</t>
    <phoneticPr fontId="2" type="noConversion"/>
  </si>
  <si>
    <t>持續執行中，依補助單位辦理情形沖銷。</t>
    <phoneticPr fontId="2" type="noConversion"/>
  </si>
  <si>
    <t>3.老人福利</t>
  </si>
  <si>
    <t>(1)補助社區發展協會等團體辦理社區照顧關懷據點計畫。</t>
    <phoneticPr fontId="2" type="noConversion"/>
  </si>
  <si>
    <t>(2)辦理社區照顧關懷據點健康導入多元活動(含獎補助)</t>
    <phoneticPr fontId="2" type="noConversion"/>
  </si>
  <si>
    <t>規劃辦理中，陸續於2~3季執行。</t>
    <phoneticPr fontId="2" type="noConversion"/>
  </si>
  <si>
    <t>(3)補助轄內公所及社區發展協會等團體辦理低收及中低收入獨居長者扶助餐食服務費</t>
    <phoneticPr fontId="2" type="noConversion"/>
  </si>
  <si>
    <t>(4)辦理老人假牙行政事務費。</t>
    <phoneticPr fontId="2" type="noConversion"/>
  </si>
  <si>
    <t>依業務實際需求支用。</t>
    <phoneticPr fontId="2" type="noConversion"/>
  </si>
  <si>
    <t>(5)臨時人員2人辦理強化本縣整備長期照顧服務計畫。</t>
    <phoneticPr fontId="2" type="noConversion"/>
  </si>
  <si>
    <t>(6)委請個人從事獨居長者扶助餐食相關業務費</t>
    <phoneticPr fontId="2" type="noConversion"/>
  </si>
  <si>
    <t>持續辦理中。</t>
    <phoneticPr fontId="2" type="noConversion"/>
  </si>
  <si>
    <t>(7)辦理本縣獨居老人緊急救援連線系統服務量能提升計畫</t>
    <phoneticPr fontId="2" type="noConversion"/>
  </si>
  <si>
    <t>依委託計畫辦理核銷。</t>
    <phoneticPr fontId="2" type="noConversion"/>
  </si>
  <si>
    <t>(8)補助車船處辦理社會福利車廂廣告費。</t>
    <phoneticPr fontId="2" type="noConversion"/>
  </si>
  <si>
    <t>(9)補助團體辦理長青學苑、重陽節敬老系列活動及老人相關活動</t>
    <phoneticPr fontId="2" type="noConversion"/>
  </si>
  <si>
    <t>(10)長青活動中心等公有建物消防火檢、公安檢查及設備修繕暨內部設施。</t>
    <phoneticPr fontId="2" type="noConversion"/>
  </si>
  <si>
    <t>(11)辦理獨居老人雲端資訊管理平台暨外展服務計畫</t>
    <phoneticPr fontId="2" type="noConversion"/>
  </si>
  <si>
    <t>(12)補助辦理強化獨居老人關懷服務計畫。</t>
    <phoneticPr fontId="2" type="noConversion"/>
  </si>
  <si>
    <t>(13)辦理中低收入失能老人機構公費安置及老人保護安置費、驗傷、體檢等補助</t>
    <phoneticPr fontId="2" type="noConversion"/>
  </si>
  <si>
    <t>辦理完畢。</t>
    <phoneticPr fontId="2" type="noConversion"/>
  </si>
  <si>
    <t>(14)充實本縣長青活動中心等公有建物設施設備修繕及充實辦公室設施設備費。</t>
    <phoneticPr fontId="2" type="noConversion"/>
  </si>
  <si>
    <t>(15)補助辦理社區照顧關懷據點充實設施設備經費。</t>
    <phoneticPr fontId="2" type="noConversion"/>
  </si>
  <si>
    <t>(16)補助團體辦理長者營養餐食設施設費</t>
    <phoneticPr fontId="2" type="noConversion"/>
  </si>
  <si>
    <t>(17)享居社福養生園區興建工程費(114年工程款)</t>
    <phoneticPr fontId="2" type="noConversion"/>
  </si>
  <si>
    <t>依工程實際估驗情形核銷。</t>
    <phoneticPr fontId="2" type="noConversion"/>
  </si>
  <si>
    <t>(18)享居社福養生園區興建工程費(113年保留款)</t>
    <phoneticPr fontId="2" type="noConversion"/>
  </si>
  <si>
    <t>辦理完畢</t>
    <phoneticPr fontId="2" type="noConversion"/>
  </si>
  <si>
    <t>4.身心障礙者福利</t>
  </si>
  <si>
    <t>(1)辦理身心障礙者日間照顧及住宿式照顧補助費</t>
    <phoneticPr fontId="2" type="noConversion"/>
  </si>
  <si>
    <t>(2)辦理身心障礙者需求評估新制計畫(含人力2人、外聘督導計畫)</t>
    <phoneticPr fontId="2" type="noConversion"/>
  </si>
  <si>
    <t>課程及督導計畫陸續辦理中。</t>
    <phoneticPr fontId="2" type="noConversion"/>
  </si>
  <si>
    <t>(3)委託辦理身心障礙者緊急救援連線服務</t>
    <phoneticPr fontId="2" type="noConversion"/>
  </si>
  <si>
    <t>依委託契約辦理核銷。</t>
    <phoneticPr fontId="2" type="noConversion"/>
  </si>
  <si>
    <t>(4)委託辦理身心障礙者全日型照顧機構管理營運計畫</t>
    <phoneticPr fontId="2" type="noConversion"/>
  </si>
  <si>
    <t>持續執行中，依委託契約辦理核銷。</t>
    <phoneticPr fontId="2" type="noConversion"/>
  </si>
  <si>
    <t>(5)委託辦理身心障礙者復康巴士交通服務計畫</t>
    <phoneticPr fontId="2" type="noConversion"/>
  </si>
  <si>
    <t>(6)委託辦理輔具資源中心服務計畫</t>
    <phoneticPr fontId="2" type="noConversion"/>
  </si>
  <si>
    <t>(7)辦理身心障礙勵志館書籍影音購置、拍攝、軟體維護宣傳活動及各類表冊等</t>
    <phoneticPr fontId="2" type="noConversion"/>
  </si>
  <si>
    <t>規劃辦理中，依計畫辦理支用。</t>
    <phoneticPr fontId="2" type="noConversion"/>
  </si>
  <si>
    <t>(8)辦理家庭照顧者支持性服務創新型計畫。</t>
    <phoneticPr fontId="2" type="noConversion"/>
  </si>
  <si>
    <t>持續辦理中，依業務計畫辦理。</t>
    <phoneticPr fontId="2" type="noConversion"/>
  </si>
  <si>
    <t>(9)建構家庭照顧者支持服務網絡計畫</t>
    <phoneticPr fontId="2" type="noConversion"/>
  </si>
  <si>
    <t>(10)身心障礙福利資源發展暨社團輔導培力計畫</t>
    <phoneticPr fontId="2" type="noConversion"/>
  </si>
  <si>
    <t>計畫辦理中，課程計畫尚未辦理完畢，致未沖銷。</t>
    <phoneticPr fontId="2" type="noConversion"/>
  </si>
  <si>
    <t>(11)受補助單位辦理視覺障礙者生活重建服務方案計畫</t>
  </si>
  <si>
    <t>持續辦理中，受補助團體尚未辦理核銷。</t>
    <phoneticPr fontId="2" type="noConversion"/>
  </si>
  <si>
    <t>(12)補助本縣各社福團體、機構辦理身障、老人、兒少、婦女、志願服務等各項福利服務活動</t>
    <phoneticPr fontId="2" type="noConversion"/>
  </si>
  <si>
    <t>規劃辦理中，依單位實際申請、核銷情形撥付。</t>
    <phoneticPr fontId="2" type="noConversion"/>
  </si>
  <si>
    <t>(13)補助團體辦理身心障礙個人照顧-社區日間作業設施計畫</t>
    <phoneticPr fontId="2" type="noConversion"/>
  </si>
  <si>
    <t>持續辦理中，受補助團體核銷即可轉正。</t>
    <phoneticPr fontId="2" type="noConversion"/>
  </si>
  <si>
    <t>(14)補助辦理家庭托顧服務計畫</t>
    <phoneticPr fontId="2" type="noConversion"/>
  </si>
  <si>
    <t>(15)補助辦理身心障礙者自立生活支持計畫</t>
    <phoneticPr fontId="2" type="noConversion"/>
  </si>
  <si>
    <t>(16)補助辦理身障各類服務人員在職訓練</t>
    <phoneticPr fontId="2" type="noConversion"/>
  </si>
  <si>
    <t>(17)補助團體辦理精神障礙者協作模式服務據點計畫</t>
    <phoneticPr fontId="2" type="noConversion"/>
  </si>
  <si>
    <t>(18)補助團體辦理身心障礙者社區式日間服務布建計畫。</t>
    <phoneticPr fontId="2" type="noConversion"/>
  </si>
  <si>
    <t>(19)補助照顧服務協會等團體辦理身心障礙者多元社區居住與生活服務計畫。</t>
    <phoneticPr fontId="2" type="noConversion"/>
  </si>
  <si>
    <t>(20)約聘社會工作員辦理強化社會安全網-精神障礙者協作模式服務據點方案管理人事費(含交通費)</t>
    <phoneticPr fontId="2" type="noConversion"/>
  </si>
  <si>
    <t>(21)約聘社會工作員辦理強化社會安全網---提升身心障礙者需求評估服務品質人事費(含交通費)</t>
    <phoneticPr fontId="2" type="noConversion"/>
  </si>
  <si>
    <t>(22)辦理身心障礙照顧服務資源布建計畫(含業務費+人事費)</t>
    <phoneticPr fontId="2" type="noConversion"/>
  </si>
  <si>
    <t>(23)布建輔具服務資源及充實本縣輔具資源中心輔具設備</t>
    <phoneticPr fontId="2" type="noConversion"/>
  </si>
  <si>
    <t>(24)辦理本縣樂朋家園機構充實設施設備及修繕費</t>
    <phoneticPr fontId="2" type="noConversion"/>
  </si>
  <si>
    <t>俟單位購置完成後核銷。</t>
    <phoneticPr fontId="2" type="noConversion"/>
  </si>
  <si>
    <t>(25)本縣身障福利服務中心扶手等無障礙設施及冷氣等設備更新</t>
    <phoneticPr fontId="2" type="noConversion"/>
  </si>
  <si>
    <t>持續辦理中，依館舍需求辦理採購沖銷。</t>
    <phoneticPr fontId="2" type="noConversion"/>
  </si>
  <si>
    <t>(26)補助機構團體設施設備及空間無障礙修繕</t>
    <phoneticPr fontId="2" type="noConversion"/>
  </si>
  <si>
    <t>俟受補助單位購置完成後核銷。</t>
    <phoneticPr fontId="2" type="noConversion"/>
  </si>
  <si>
    <t>(27)補助身心障礙福利機構等單位建物整體修繕費用</t>
    <phoneticPr fontId="2" type="noConversion"/>
  </si>
  <si>
    <t>5.家庭暴力暨性侵害防治</t>
    <phoneticPr fontId="2" type="noConversion"/>
  </si>
  <si>
    <t>(1)辦理推展社會福利服務家庭支持服務方案計畫。</t>
    <phoneticPr fontId="2" type="noConversion"/>
  </si>
  <si>
    <t>持續執行中。</t>
    <phoneticPr fontId="2" type="noConversion"/>
  </si>
  <si>
    <t>(2)辦理本縣家事事件服務中心及家庭暴力相關服務計畫。</t>
    <phoneticPr fontId="2" type="noConversion"/>
  </si>
  <si>
    <t>(3)辦理社區防暴初級預防等相關培力及活動。</t>
    <phoneticPr fontId="2" type="noConversion"/>
  </si>
  <si>
    <t>業務陸續推動。</t>
    <phoneticPr fontId="2" type="noConversion"/>
  </si>
  <si>
    <t>(4)辦理逆境少年及家庭支持服務方案計畫。</t>
    <phoneticPr fontId="2" type="noConversion"/>
  </si>
  <si>
    <t>(5)辦理強化社會安全網計畫行政事務費用</t>
    <phoneticPr fontId="2" type="noConversion"/>
  </si>
  <si>
    <t>路續執行中，依計畫及課程安排推動情形沖銷。</t>
    <phoneticPr fontId="2" type="noConversion"/>
  </si>
  <si>
    <t>(6)補助團辦理保護性被害人服務相關計畫</t>
    <phoneticPr fontId="2" type="noConversion"/>
  </si>
  <si>
    <t>本案已提送年度追減，下一年度依需求編列。</t>
    <phoneticPr fontId="2" type="noConversion"/>
  </si>
  <si>
    <t>(7)辦理推動性騷擾防治方案業務費</t>
    <phoneticPr fontId="2" type="noConversion"/>
  </si>
  <si>
    <t>辦理中，依業務推動情形核銷。</t>
    <phoneticPr fontId="2" type="noConversion"/>
  </si>
  <si>
    <t>(8)補助辦理性別暴力防治宣導及紫絲帶認證社區獎勵案</t>
    <phoneticPr fontId="2" type="noConversion"/>
  </si>
  <si>
    <t>計畫已核定，俟單位辦理完成後沖銷。</t>
    <phoneticPr fontId="2" type="noConversion"/>
  </si>
  <si>
    <t>(9)家庭暴力暨性侵害加害人身心治療及輔導教育計畫。</t>
    <phoneticPr fontId="2" type="noConversion"/>
  </si>
  <si>
    <t>(10)約聘社會工作員強化社會安全網計畫-優化保護服務輸送，提升風險控管保護(含交通費)</t>
    <phoneticPr fontId="2" type="noConversion"/>
  </si>
  <si>
    <t>辦理中，按薪資撥付情形沖銷。</t>
    <phoneticPr fontId="2" type="noConversion"/>
  </si>
  <si>
    <t>(11)約聘社會工作員辦理強化社會安全網--精進兒少家外安置人事費(含交通費)</t>
    <phoneticPr fontId="2" type="noConversion"/>
  </si>
  <si>
    <t>(12)約聘社會工作員辦理強化社會安全網--性騷擾申訴案件人事費(含交通費)</t>
    <phoneticPr fontId="2" type="noConversion"/>
  </si>
  <si>
    <t>(13)約聘人員辦理推動性騷擾防治方案業務費(含交通費)</t>
    <phoneticPr fontId="2" type="noConversion"/>
  </si>
  <si>
    <t>持續推動辦理。</t>
    <phoneticPr fontId="2" type="noConversion"/>
  </si>
  <si>
    <t>(14)辦理強化社會安全網計畫第二期計畫-精進及擴充兒少家外安置資源：建立在地評估小組。</t>
    <phoneticPr fontId="2" type="noConversion"/>
  </si>
  <si>
    <t>依業務推動需求陸續執行。</t>
    <phoneticPr fontId="2" type="noConversion"/>
  </si>
  <si>
    <t>6.其他福利</t>
    <phoneticPr fontId="2" type="noConversion"/>
  </si>
  <si>
    <t>(1)辦理社工人員執業安全及支持協助方案</t>
    <phoneticPr fontId="2" type="noConversion"/>
  </si>
  <si>
    <t>計畫(課程)辦理中，尚未辦理核銷。</t>
    <phoneticPr fontId="2" type="noConversion"/>
  </si>
  <si>
    <t>(2)補助團體辦理推展多元社會福利方案實施計畫(含設施設備費)</t>
    <phoneticPr fontId="2" type="noConversion"/>
  </si>
  <si>
    <t>執行中，俟核定後依單位實際執行情形撥款。</t>
    <phoneticPr fontId="2" type="noConversion"/>
  </si>
  <si>
    <t>(3)臨時人員人協辦社會福利業務及長青活動中心管理員</t>
    <phoneticPr fontId="2" type="noConversion"/>
  </si>
  <si>
    <t>(4)辦理公益彩券盈餘推廣計畫</t>
    <phoneticPr fontId="2" type="noConversion"/>
  </si>
  <si>
    <t>(5)辦理社區再造培力中心計畫</t>
    <phoneticPr fontId="2" type="noConversion"/>
  </si>
  <si>
    <t>持續執行中，依業務實際需求撥付。</t>
    <phoneticPr fontId="2" type="noConversion"/>
  </si>
  <si>
    <t>(6)辦理社區發展相關業務</t>
    <phoneticPr fontId="2" type="noConversion"/>
  </si>
  <si>
    <t>(7)赴台接替代役男交通住宿費及替代役男返鄉外勤、交通費、雜支及替代役男住宿費</t>
    <phoneticPr fontId="2" type="noConversion"/>
  </si>
  <si>
    <t>(8)社會福利資訊系統與高風險預警系統</t>
    <phoneticPr fontId="2" type="noConversion"/>
  </si>
  <si>
    <t>委託廠商尚未辦理核銷。</t>
    <phoneticPr fontId="2" type="noConversion"/>
  </si>
  <si>
    <t>(9)辦理社區培力均衡區域發展實施計畫。</t>
    <phoneticPr fontId="2" type="noConversion"/>
  </si>
  <si>
    <t>(10)推動社區發展工作辦理走動式績優社區觀摩實施計畫</t>
    <phoneticPr fontId="2" type="noConversion"/>
  </si>
  <si>
    <t>於第2、3季辦理，並俟執行完成後沖銷`</t>
    <phoneticPr fontId="2" type="noConversion"/>
  </si>
  <si>
    <t>(11)補助辦理社區再造培力中心計畫。</t>
    <phoneticPr fontId="2" type="noConversion"/>
  </si>
  <si>
    <t>受補助單位尚未辦理核銷。</t>
    <phoneticPr fontId="2" type="noConversion"/>
  </si>
  <si>
    <t>(12)補助各社區成果維護費及聯合社區相關活動費</t>
    <phoneticPr fontId="2" type="noConversion"/>
  </si>
  <si>
    <t>受補助單位尚未辦理請款。</t>
    <phoneticPr fontId="2" type="noConversion"/>
  </si>
  <si>
    <t>(13)補助大專院校辦理大專校院培力社區擴展服務創新實施計畫</t>
    <phoneticPr fontId="2" type="noConversion"/>
  </si>
  <si>
    <t>持續執行中，受補助單位尚未請款。</t>
    <phoneticPr fontId="2" type="noConversion"/>
  </si>
  <si>
    <t>(14)委託辦理志願服務推廣中心業務。</t>
    <phoneticPr fontId="2" type="noConversion"/>
  </si>
  <si>
    <t>(15)志願服務聯繫會報及志願服務運用單位績效考核評鑑</t>
    <phoneticPr fontId="2" type="noConversion"/>
  </si>
  <si>
    <t>(16)補助志願服務團體志工保險費、獎勵金</t>
    <phoneticPr fontId="2" type="noConversion"/>
  </si>
  <si>
    <t>依實際執行情形撥付。</t>
    <phoneticPr fontId="2" type="noConversion"/>
  </si>
  <si>
    <t>(17)補助非老非障服務對象安置及服務費用</t>
    <phoneticPr fontId="2" type="noConversion"/>
  </si>
  <si>
    <t>依媒合個案實際需求撥付，上半年度業重新評估需求辦理追減。</t>
    <phoneticPr fontId="2" type="noConversion"/>
  </si>
  <si>
    <t>(18)約聘(僱)人員辦理社會福利業務</t>
    <phoneticPr fontId="2" type="noConversion"/>
  </si>
  <si>
    <t>(19)辦理公益勸募研習訓練與宣導</t>
    <phoneticPr fontId="2" type="noConversion"/>
  </si>
  <si>
    <t>陸續辦理中，尚未辦理沖銷。</t>
    <phoneticPr fontId="2" type="noConversion"/>
  </si>
  <si>
    <t>(20)社區再造培力中心設施設備費</t>
    <phoneticPr fontId="2" type="noConversion"/>
  </si>
  <si>
    <t>(21)各福利方案購置充實設施設備及修繕費。</t>
    <phoneticPr fontId="2" type="noConversion"/>
  </si>
  <si>
    <t>(22)社工人員執業安全擴展實境教育訓練設備計畫</t>
    <phoneticPr fontId="2" type="noConversion"/>
  </si>
  <si>
    <t>購置6組VR設備。</t>
    <phoneticPr fontId="2" type="noConversion"/>
  </si>
  <si>
    <t>（二）社會救助</t>
  </si>
  <si>
    <t>(1)低收入戶家庭生活補助</t>
    <phoneticPr fontId="2" type="noConversion"/>
  </si>
  <si>
    <t>持續辦理中，依規畫情形支用。</t>
    <phoneticPr fontId="2" type="noConversion"/>
  </si>
  <si>
    <r>
      <t xml:space="preserve">(2)辦理民眾急難救助
</t>
    </r>
    <r>
      <rPr>
        <b/>
        <sz val="10"/>
        <rFont val="標楷體"/>
        <family val="4"/>
        <charset val="136"/>
      </rPr>
      <t>(含川資救助)</t>
    </r>
    <phoneticPr fontId="2" type="noConversion"/>
  </si>
  <si>
    <t>依實際申請數撥付。</t>
    <phoneticPr fontId="2" type="noConversion"/>
  </si>
  <si>
    <t>(3)社會救助複查</t>
    <phoneticPr fontId="2" type="noConversion"/>
  </si>
  <si>
    <t>預計於第3季起執行，年底核銷。</t>
    <phoneticPr fontId="2" type="noConversion"/>
  </si>
  <si>
    <t>(4)低收入戶產婦生育補助</t>
    <phoneticPr fontId="2" type="noConversion"/>
  </si>
  <si>
    <t>依媒合個案實際需求撥付。</t>
    <phoneticPr fontId="2" type="noConversion"/>
  </si>
  <si>
    <t>(5)社會救助業務訓練費用及雜支</t>
    <phoneticPr fontId="2" type="noConversion"/>
  </si>
  <si>
    <t>(6)辦理家庭自立脫貧計畫</t>
    <phoneticPr fontId="2" type="noConversion"/>
  </si>
  <si>
    <t>（三）社會保險</t>
  </si>
  <si>
    <t>無</t>
    <phoneticPr fontId="2" type="noConversion"/>
  </si>
  <si>
    <t>（四）國民就業</t>
  </si>
  <si>
    <t>辦理就業平等業務及諮詢服務中心等費用</t>
    <phoneticPr fontId="2" type="noConversion"/>
  </si>
  <si>
    <t>辦理就業平等業務費用</t>
  </si>
  <si>
    <t>賡續執行，依業務推動情形支用。</t>
    <phoneticPr fontId="2" type="noConversion"/>
  </si>
  <si>
    <t>（五）醫療保健</t>
  </si>
  <si>
    <t>本縣民眾醫療照護交通補助費</t>
    <phoneticPr fontId="2" type="noConversion"/>
  </si>
  <si>
    <t>千元整數</t>
    <phoneticPr fontId="2" type="noConversion"/>
  </si>
  <si>
    <t>合        計</t>
  </si>
  <si>
    <t>填表說明：1.「福利類別及項目」，得視當季實際執行情形酌予增減或修正。</t>
    <phoneticPr fontId="2" type="noConversion"/>
  </si>
  <si>
    <t>(C)↑</t>
    <phoneticPr fontId="2" type="noConversion"/>
  </si>
  <si>
    <t xml:space="preserve">          2.歲出預算社會福利科目金額係指總預算歲出政事別預算總表中，社會福利支出科目預算數。</t>
  </si>
  <si>
    <r>
      <t xml:space="preserve">          3.</t>
    </r>
    <r>
      <rPr>
        <b/>
        <sz val="12"/>
        <color indexed="10"/>
        <rFont val="標楷體"/>
        <family val="4"/>
        <charset val="136"/>
      </rPr>
      <t>累計執行數包含以前年度保留款於本年度實際執行數，本年度預算保留款不予計入。</t>
    </r>
  </si>
  <si>
    <r>
      <t xml:space="preserve">          4.請說明計畫執行率不佳原因，</t>
    </r>
    <r>
      <rPr>
        <b/>
        <sz val="12"/>
        <color indexed="10"/>
        <rFont val="標楷體"/>
        <family val="4"/>
        <charset val="136"/>
      </rPr>
      <t>第4季季報表請併同說明本年度預算保留至以後年度執行之情形</t>
    </r>
    <r>
      <rPr>
        <sz val="12"/>
        <color indexed="10"/>
        <rFont val="標楷體"/>
        <family val="4"/>
        <charset val="136"/>
      </rPr>
      <t>。</t>
    </r>
  </si>
  <si>
    <t>八、本年度1月起至本季截止公益彩券盈餘分配剩餘情形：</t>
  </si>
  <si>
    <r>
      <t>（一）本年度1月起至本季截止，累計公益彩券盈餘分配待運用數(f)=(a)+(b)-(C）</t>
    </r>
    <r>
      <rPr>
        <u/>
        <sz val="14"/>
        <color indexed="8"/>
        <rFont val="標楷體"/>
        <family val="4"/>
        <charset val="136"/>
      </rPr>
      <t xml:space="preserve">                   </t>
    </r>
    <phoneticPr fontId="2" type="noConversion"/>
  </si>
  <si>
    <t xml:space="preserve">       另本年度保留款金額合計　　　　</t>
    <phoneticPr fontId="2" type="noConversion"/>
  </si>
  <si>
    <t>元（第4季季報表須填列）。</t>
    <phoneticPr fontId="2" type="noConversion"/>
  </si>
  <si>
    <t>（二）尚未執行之原因：部分計畫人力異動頻繁無全年度進用致經費無支用，另新建案尚在更變設計故無法順利估驗撥款。</t>
    <phoneticPr fontId="2" type="noConversion"/>
  </si>
  <si>
    <r>
      <t>九、公益彩券盈餘預算經費動支及核銷預估情形： （第4季</t>
    </r>
    <r>
      <rPr>
        <sz val="14"/>
        <color indexed="10"/>
        <rFont val="標楷體"/>
        <family val="4"/>
        <charset val="136"/>
      </rPr>
      <t>季</t>
    </r>
    <r>
      <rPr>
        <sz val="14"/>
        <color indexed="8"/>
        <rFont val="標楷體"/>
        <family val="4"/>
        <charset val="136"/>
      </rPr>
      <t xml:space="preserve">報表本欄免填）                                  </t>
    </r>
  </si>
  <si>
    <t>（一）本年度1月起至本季截止，已發包或已簽約經費82,230,000元，預計於次季執行經費40,200,000元。</t>
    <phoneticPr fontId="2" type="noConversion"/>
  </si>
  <si>
    <t>（二）預計於次季核銷經費120,600,000元，預估累計至次季止執行率53%。</t>
    <phoneticPr fontId="2" type="noConversion"/>
  </si>
  <si>
    <t>承辦人員簽章：</t>
  </si>
  <si>
    <t>業務單位</t>
  </si>
  <si>
    <t>聯絡電話：</t>
  </si>
  <si>
    <t>李家隆</t>
    <phoneticPr fontId="2" type="noConversion"/>
  </si>
  <si>
    <t>主管簽章：</t>
  </si>
  <si>
    <t>填表日期：</t>
  </si>
  <si>
    <t>114.07.15</t>
    <phoneticPr fontId="2" type="noConversion"/>
  </si>
  <si>
    <t>會計單位</t>
  </si>
  <si>
    <t>機關主管</t>
  </si>
  <si>
    <t>簽    章：</t>
  </si>
  <si>
    <t>備註：簽章欄得由各該直轄巿、縣巿政府視業務劃分，自行調整。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</si>
</sst>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8" formatCode="#,##0_);[Red]\(#,##0\)"/>
  </numFmts>
  <fonts count="42" x14ac:knownFonts="1">
    <font>
      <sz val="12"/>
      <color indexed="8"/>
      <name val="新細明體"/>
      <family val="1"/>
      <charset val="136"/>
    </font>
    <font>
      <b/>
      <u/>
      <sz val="16"/>
      <color rgb="FF000000"/>
      <name val="標楷體"/>
      <family val="4"/>
      <charset val="136"/>
    </font>
    <font>
      <sz val="9"/>
      <name val="新細明體"/>
      <family val="1"/>
      <charset val="136"/>
    </font>
    <font>
      <b/>
      <u/>
      <sz val="16"/>
      <color indexed="8"/>
      <name val="標楷體"/>
      <family val="4"/>
      <charset val="136"/>
    </font>
    <font>
      <b/>
      <sz val="18"/>
      <color indexed="8"/>
      <name val="標楷體"/>
      <family val="4"/>
      <charset val="136"/>
    </font>
    <font>
      <b/>
      <sz val="14"/>
      <color indexed="8"/>
      <name val="標楷體"/>
      <family val="4"/>
      <charset val="136"/>
    </font>
    <font>
      <b/>
      <sz val="14"/>
      <color rgb="FFFF0000"/>
      <name val="標楷體"/>
      <family val="4"/>
      <charset val="136"/>
    </font>
    <font>
      <sz val="14"/>
      <color indexed="8"/>
      <name val="標楷體"/>
      <family val="4"/>
      <charset val="136"/>
    </font>
    <font>
      <sz val="12"/>
      <color indexed="8"/>
      <name val="標楷體"/>
      <family val="4"/>
      <charset val="136"/>
    </font>
    <font>
      <u/>
      <sz val="14"/>
      <color indexed="8"/>
      <name val="標楷體"/>
      <family val="4"/>
      <charset val="136"/>
    </font>
    <font>
      <sz val="14"/>
      <color rgb="FFFF0000"/>
      <name val="標楷體"/>
      <family val="4"/>
      <charset val="136"/>
    </font>
    <font>
      <b/>
      <u/>
      <sz val="14"/>
      <color rgb="FFFF0000"/>
      <name val="標楷體"/>
      <family val="4"/>
      <charset val="136"/>
    </font>
    <font>
      <sz val="13"/>
      <name val="標楷體"/>
      <family val="4"/>
      <charset val="136"/>
    </font>
    <font>
      <b/>
      <u/>
      <sz val="14"/>
      <color indexed="8"/>
      <name val="標楷體"/>
      <family val="4"/>
      <charset val="136"/>
    </font>
    <font>
      <sz val="13"/>
      <color indexed="8"/>
      <name val="標楷體"/>
      <family val="4"/>
      <charset val="136"/>
    </font>
    <font>
      <b/>
      <u/>
      <sz val="13"/>
      <color theme="3" tint="0.39997558519241921"/>
      <name val="標楷體"/>
      <family val="4"/>
      <charset val="136"/>
    </font>
    <font>
      <u/>
      <sz val="13"/>
      <color rgb="FFFF0000"/>
      <name val="標楷體"/>
      <family val="4"/>
      <charset val="136"/>
    </font>
    <font>
      <b/>
      <u/>
      <sz val="13"/>
      <color rgb="FFFF0000"/>
      <name val="標楷體"/>
      <family val="4"/>
      <charset val="136"/>
    </font>
    <font>
      <b/>
      <u/>
      <sz val="13"/>
      <color theme="4" tint="-0.249977111117893"/>
      <name val="標楷體"/>
      <family val="4"/>
      <charset val="136"/>
    </font>
    <font>
      <b/>
      <u/>
      <sz val="13"/>
      <color theme="1"/>
      <name val="標楷體"/>
      <family val="4"/>
      <charset val="136"/>
    </font>
    <font>
      <b/>
      <u/>
      <sz val="13"/>
      <color theme="1" tint="0.14999847407452621"/>
      <name val="標楷體"/>
      <family val="4"/>
      <charset val="136"/>
    </font>
    <font>
      <b/>
      <u/>
      <sz val="14"/>
      <color theme="4" tint="-0.249977111117893"/>
      <name val="標楷體"/>
      <family val="4"/>
      <charset val="136"/>
    </font>
    <font>
      <b/>
      <sz val="12"/>
      <color indexed="8"/>
      <name val="標楷體"/>
      <family val="4"/>
      <charset val="136"/>
    </font>
    <font>
      <sz val="12"/>
      <color indexed="10"/>
      <name val="標楷體"/>
      <family val="4"/>
      <charset val="136"/>
    </font>
    <font>
      <sz val="11"/>
      <color indexed="8"/>
      <name val="標楷體"/>
      <family val="4"/>
      <charset val="136"/>
    </font>
    <font>
      <sz val="11"/>
      <color indexed="10"/>
      <name val="標楷體"/>
      <family val="4"/>
      <charset val="136"/>
    </font>
    <font>
      <sz val="10"/>
      <color indexed="8"/>
      <name val="標楷體"/>
      <family val="4"/>
      <charset val="136"/>
    </font>
    <font>
      <sz val="10"/>
      <name val="標楷體"/>
      <family val="4"/>
      <charset val="136"/>
    </font>
    <font>
      <sz val="12"/>
      <name val="Times New Roman"/>
      <family val="1"/>
    </font>
    <font>
      <b/>
      <sz val="12"/>
      <name val="Times New Roman"/>
      <family val="1"/>
    </font>
    <font>
      <u/>
      <sz val="12"/>
      <name val="Times New Roman"/>
      <family val="1"/>
    </font>
    <font>
      <b/>
      <u/>
      <sz val="12"/>
      <name val="Times New Roman"/>
      <family val="1"/>
    </font>
    <font>
      <sz val="12"/>
      <color theme="1"/>
      <name val="Times New Roman"/>
      <family val="1"/>
    </font>
    <font>
      <sz val="10"/>
      <color rgb="FFFF0000"/>
      <name val="標楷體"/>
      <family val="4"/>
      <charset val="136"/>
    </font>
    <font>
      <sz val="10"/>
      <color theme="1"/>
      <name val="標楷體"/>
      <family val="4"/>
      <charset val="136"/>
    </font>
    <font>
      <b/>
      <sz val="10"/>
      <name val="標楷體"/>
      <family val="4"/>
      <charset val="136"/>
    </font>
    <font>
      <b/>
      <sz val="11"/>
      <color indexed="8"/>
      <name val="標楷體"/>
      <family val="4"/>
      <charset val="136"/>
    </font>
    <font>
      <b/>
      <sz val="12"/>
      <color indexed="10"/>
      <name val="標楷體"/>
      <family val="4"/>
      <charset val="136"/>
    </font>
    <font>
      <b/>
      <u/>
      <sz val="12"/>
      <color rgb="FFFF0000"/>
      <name val="新細明體"/>
      <family val="1"/>
      <charset val="136"/>
    </font>
    <font>
      <sz val="14"/>
      <color indexed="10"/>
      <name val="標楷體"/>
      <family val="4"/>
      <charset val="136"/>
    </font>
    <font>
      <sz val="12"/>
      <color rgb="FF000000"/>
      <name val="標楷體"/>
      <family val="4"/>
      <charset val="136"/>
    </font>
    <font>
      <sz val="12"/>
      <color indexed="8"/>
      <name val="Times New Roman"/>
      <family val="1"/>
    </font>
  </fonts>
  <fills count="9">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31"/>
      </patternFill>
    </fill>
    <fill>
      <patternFill patternType="solid">
        <fgColor rgb="FFFFFF00"/>
        <bgColor indexed="64"/>
      </patternFill>
    </fill>
    <fill>
      <patternFill patternType="solid">
        <fgColor theme="0"/>
        <bgColor rgb="FFFFC000"/>
      </patternFill>
    </fill>
    <fill>
      <patternFill patternType="solid">
        <fgColor rgb="FFFFFFFF"/>
        <bgColor rgb="FFFFFFFF"/>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06">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vertical="center" wrapText="1"/>
    </xf>
    <xf numFmtId="0" fontId="7" fillId="0" borderId="0" xfId="0" applyFont="1">
      <alignment vertical="center"/>
    </xf>
    <xf numFmtId="0" fontId="7" fillId="0" borderId="0" xfId="0" applyFont="1">
      <alignment vertical="center"/>
    </xf>
    <xf numFmtId="0" fontId="8" fillId="0" borderId="0" xfId="0" applyFont="1">
      <alignment vertical="center"/>
    </xf>
    <xf numFmtId="176" fontId="11" fillId="0" borderId="0" xfId="0" applyNumberFormat="1" applyFont="1" applyAlignment="1">
      <alignment horizontal="center" vertical="center"/>
    </xf>
    <xf numFmtId="0" fontId="12" fillId="0" borderId="0" xfId="0" applyFont="1" applyAlignment="1">
      <alignment horizontal="left" vertical="center"/>
    </xf>
    <xf numFmtId="0" fontId="8" fillId="0" borderId="0" xfId="0" applyFont="1" applyAlignment="1">
      <alignment vertical="center" wrapText="1"/>
    </xf>
    <xf numFmtId="0" fontId="7" fillId="0" borderId="0" xfId="0" applyFont="1" applyAlignment="1">
      <alignment vertical="center" wrapText="1"/>
    </xf>
    <xf numFmtId="0" fontId="14" fillId="0" borderId="0" xfId="0" applyFont="1" applyAlignment="1">
      <alignment vertical="center" wrapText="1"/>
    </xf>
    <xf numFmtId="0" fontId="12" fillId="0" borderId="0" xfId="0" applyFont="1">
      <alignment vertical="center"/>
    </xf>
    <xf numFmtId="0" fontId="8" fillId="0" borderId="0" xfId="0" applyFont="1">
      <alignment vertical="center"/>
    </xf>
    <xf numFmtId="3" fontId="11" fillId="0" borderId="0" xfId="0" applyNumberFormat="1" applyFont="1" applyAlignment="1">
      <alignment horizontal="right" vertical="center"/>
    </xf>
    <xf numFmtId="0" fontId="12" fillId="0" borderId="0" xfId="0" applyFont="1" applyAlignment="1">
      <alignment horizontal="right" vertical="center"/>
    </xf>
    <xf numFmtId="3" fontId="16" fillId="0" borderId="0" xfId="0" applyNumberFormat="1" applyFont="1" applyAlignment="1">
      <alignment horizontal="center" vertical="center"/>
    </xf>
    <xf numFmtId="0" fontId="16" fillId="0" borderId="0" xfId="0" applyFont="1" applyAlignment="1">
      <alignment horizontal="center" vertical="center"/>
    </xf>
    <xf numFmtId="0" fontId="12" fillId="0" borderId="0" xfId="0" applyFont="1">
      <alignment vertical="center"/>
    </xf>
    <xf numFmtId="0" fontId="12" fillId="0" borderId="0" xfId="0" applyFont="1" applyAlignment="1">
      <alignment vertical="center" wrapText="1"/>
    </xf>
    <xf numFmtId="0" fontId="5" fillId="0" borderId="0" xfId="0" applyFont="1">
      <alignment vertical="center"/>
    </xf>
    <xf numFmtId="0" fontId="22" fillId="0" borderId="0" xfId="0" applyFont="1">
      <alignment vertical="center"/>
    </xf>
    <xf numFmtId="0" fontId="8"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2" fillId="0" borderId="1" xfId="0" applyFont="1" applyBorder="1" applyAlignment="1">
      <alignment vertical="center" wrapText="1"/>
    </xf>
    <xf numFmtId="0" fontId="8" fillId="0" borderId="1" xfId="0" applyFont="1" applyBorder="1" applyAlignment="1">
      <alignment vertical="center" wrapText="1"/>
    </xf>
    <xf numFmtId="0" fontId="26" fillId="0" borderId="1" xfId="0" applyFont="1" applyBorder="1" applyAlignment="1">
      <alignment horizontal="center" vertical="center" wrapText="1"/>
    </xf>
    <xf numFmtId="0" fontId="8" fillId="0" borderId="2" xfId="0" applyFont="1" applyBorder="1" applyAlignment="1">
      <alignment horizontal="center" vertical="center" wrapText="1"/>
    </xf>
    <xf numFmtId="0" fontId="0" fillId="0" borderId="3" xfId="0" applyBorder="1" applyAlignment="1">
      <alignment horizontal="center" vertical="center" wrapText="1"/>
    </xf>
    <xf numFmtId="0" fontId="22" fillId="2" borderId="1" xfId="0" applyFont="1" applyFill="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lignment vertical="center"/>
    </xf>
    <xf numFmtId="0" fontId="26" fillId="2" borderId="1" xfId="0" applyFont="1" applyFill="1" applyBorder="1" applyAlignment="1">
      <alignment vertical="center" wrapText="1"/>
    </xf>
    <xf numFmtId="0" fontId="27" fillId="0" borderId="1" xfId="0" applyFont="1" applyBorder="1" applyAlignment="1">
      <alignment vertical="center" wrapText="1"/>
    </xf>
    <xf numFmtId="3" fontId="28" fillId="0" borderId="1" xfId="0" applyNumberFormat="1" applyFont="1" applyBorder="1">
      <alignment vertical="center"/>
    </xf>
    <xf numFmtId="0" fontId="8" fillId="0" borderId="1" xfId="0" applyFont="1" applyBorder="1">
      <alignment vertical="center"/>
    </xf>
    <xf numFmtId="176" fontId="28" fillId="0" borderId="1" xfId="0" applyNumberFormat="1" applyFont="1" applyBorder="1">
      <alignment vertical="center"/>
    </xf>
    <xf numFmtId="178" fontId="8" fillId="0" borderId="1" xfId="0" applyNumberFormat="1" applyFont="1" applyBorder="1">
      <alignment vertical="center"/>
    </xf>
    <xf numFmtId="176" fontId="8" fillId="0" borderId="1" xfId="0" applyNumberFormat="1" applyFont="1" applyBorder="1">
      <alignment vertical="center"/>
    </xf>
    <xf numFmtId="10" fontId="8" fillId="0" borderId="1" xfId="0" applyNumberFormat="1" applyFont="1" applyBorder="1">
      <alignment vertical="center"/>
    </xf>
    <xf numFmtId="0" fontId="26" fillId="0" borderId="2" xfId="0" applyFont="1" applyBorder="1" applyAlignment="1">
      <alignment vertical="center" wrapText="1"/>
    </xf>
    <xf numFmtId="0" fontId="0" fillId="0" borderId="3" xfId="0" applyBorder="1" applyAlignment="1">
      <alignment vertical="center" wrapText="1"/>
    </xf>
    <xf numFmtId="3" fontId="29" fillId="0" borderId="1" xfId="0" applyNumberFormat="1" applyFont="1" applyBorder="1">
      <alignment vertical="center"/>
    </xf>
    <xf numFmtId="3" fontId="30" fillId="0" borderId="1" xfId="0" applyNumberFormat="1" applyFont="1" applyBorder="1">
      <alignment vertical="center"/>
    </xf>
    <xf numFmtId="176" fontId="29" fillId="0" borderId="1" xfId="0" applyNumberFormat="1" applyFont="1" applyBorder="1">
      <alignment vertical="center"/>
    </xf>
    <xf numFmtId="3" fontId="31" fillId="0" borderId="1" xfId="0" applyNumberFormat="1" applyFont="1" applyBorder="1">
      <alignment vertical="center"/>
    </xf>
    <xf numFmtId="0" fontId="27" fillId="3" borderId="1" xfId="0" applyFont="1" applyFill="1" applyBorder="1" applyAlignment="1">
      <alignment vertical="center" wrapText="1"/>
    </xf>
    <xf numFmtId="0" fontId="22" fillId="4" borderId="1" xfId="0" applyFont="1" applyFill="1" applyBorder="1" applyAlignment="1">
      <alignment horizontal="center" vertical="center" wrapText="1"/>
    </xf>
    <xf numFmtId="3" fontId="29" fillId="5" borderId="1" xfId="0" applyNumberFormat="1" applyFont="1" applyFill="1" applyBorder="1">
      <alignment vertical="center"/>
    </xf>
    <xf numFmtId="10" fontId="22" fillId="4" borderId="1" xfId="0" applyNumberFormat="1" applyFont="1" applyFill="1" applyBorder="1">
      <alignment vertical="center"/>
    </xf>
    <xf numFmtId="0" fontId="22" fillId="4" borderId="2" xfId="0" applyFont="1" applyFill="1" applyBorder="1" applyAlignment="1">
      <alignment horizontal="left" vertical="top"/>
    </xf>
    <xf numFmtId="0" fontId="0" fillId="5" borderId="3" xfId="0" applyFill="1" applyBorder="1" applyAlignment="1">
      <alignment horizontal="left" vertical="top"/>
    </xf>
    <xf numFmtId="176" fontId="31" fillId="0" borderId="1" xfId="0" applyNumberFormat="1" applyFont="1" applyBorder="1">
      <alignment vertical="center"/>
    </xf>
    <xf numFmtId="176" fontId="30" fillId="0" borderId="1" xfId="0" applyNumberFormat="1" applyFont="1" applyBorder="1">
      <alignment vertical="center"/>
    </xf>
    <xf numFmtId="10" fontId="26" fillId="0" borderId="2" xfId="0" applyNumberFormat="1" applyFont="1" applyBorder="1" applyAlignment="1">
      <alignment horizontal="left" vertical="center" wrapText="1"/>
    </xf>
    <xf numFmtId="0" fontId="26" fillId="0" borderId="3" xfId="0" applyFont="1" applyBorder="1" applyAlignment="1">
      <alignment horizontal="left" vertical="center" wrapText="1"/>
    </xf>
    <xf numFmtId="0" fontId="0" fillId="3" borderId="1" xfId="0" applyFill="1" applyBorder="1" applyAlignment="1">
      <alignment vertical="center" wrapText="1"/>
    </xf>
    <xf numFmtId="0" fontId="22" fillId="0" borderId="1" xfId="0" applyFont="1" applyBorder="1" applyAlignment="1">
      <alignment vertical="center" wrapText="1"/>
    </xf>
    <xf numFmtId="176" fontId="29" fillId="0" borderId="1" xfId="0" applyNumberFormat="1" applyFont="1" applyBorder="1" applyAlignment="1">
      <alignment horizontal="right" vertical="center"/>
    </xf>
    <xf numFmtId="176" fontId="28" fillId="0" borderId="1" xfId="0" applyNumberFormat="1" applyFont="1" applyBorder="1" applyAlignment="1">
      <alignment horizontal="right" vertical="center"/>
    </xf>
    <xf numFmtId="176" fontId="26" fillId="0" borderId="2" xfId="0" applyNumberFormat="1" applyFont="1" applyBorder="1" applyAlignment="1">
      <alignment horizontal="left" vertical="center" wrapText="1"/>
    </xf>
    <xf numFmtId="0" fontId="0" fillId="0" borderId="3" xfId="0" applyBorder="1" applyAlignment="1">
      <alignment horizontal="left" vertical="center" wrapText="1"/>
    </xf>
    <xf numFmtId="176" fontId="32" fillId="6" borderId="1" xfId="0" applyNumberFormat="1" applyFont="1" applyFill="1" applyBorder="1">
      <alignment vertical="center"/>
    </xf>
    <xf numFmtId="176" fontId="32" fillId="0" borderId="1" xfId="0" applyNumberFormat="1" applyFont="1" applyBorder="1">
      <alignment vertical="center"/>
    </xf>
    <xf numFmtId="10" fontId="26" fillId="0" borderId="3" xfId="0" applyNumberFormat="1" applyFont="1" applyBorder="1" applyAlignment="1">
      <alignment horizontal="left" vertical="center" wrapText="1"/>
    </xf>
    <xf numFmtId="176" fontId="28" fillId="7" borderId="1" xfId="0" applyNumberFormat="1" applyFont="1" applyFill="1" applyBorder="1">
      <alignment vertical="center"/>
    </xf>
    <xf numFmtId="0" fontId="33" fillId="0" borderId="1" xfId="0" applyFont="1" applyBorder="1" applyAlignment="1">
      <alignment vertical="center" wrapText="1"/>
    </xf>
    <xf numFmtId="0" fontId="34" fillId="0" borderId="1" xfId="0" applyFont="1" applyBorder="1" applyAlignment="1">
      <alignment vertical="center" wrapText="1"/>
    </xf>
    <xf numFmtId="0" fontId="0" fillId="0" borderId="1" xfId="0" applyBorder="1" applyAlignment="1">
      <alignment vertical="center" wrapText="1"/>
    </xf>
    <xf numFmtId="0" fontId="27"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vertical="top" wrapText="1"/>
    </xf>
    <xf numFmtId="3" fontId="8" fillId="0" borderId="1" xfId="0" applyNumberFormat="1" applyFont="1" applyBorder="1" applyAlignment="1">
      <alignment vertical="top"/>
    </xf>
    <xf numFmtId="3" fontId="22" fillId="0" borderId="1" xfId="0" applyNumberFormat="1" applyFont="1" applyBorder="1" applyAlignment="1">
      <alignment vertical="top"/>
    </xf>
    <xf numFmtId="0" fontId="8" fillId="0" borderId="1" xfId="0" applyFont="1" applyBorder="1" applyAlignment="1">
      <alignment vertical="top"/>
    </xf>
    <xf numFmtId="0" fontId="8" fillId="0" borderId="1" xfId="0" applyFont="1" applyBorder="1" applyAlignment="1">
      <alignment horizontal="left" vertical="top" wrapText="1"/>
    </xf>
    <xf numFmtId="0" fontId="26" fillId="2" borderId="2" xfId="0" applyFont="1" applyFill="1" applyBorder="1" applyAlignment="1">
      <alignment vertical="center" wrapText="1"/>
    </xf>
    <xf numFmtId="0" fontId="26" fillId="2" borderId="3" xfId="0" applyFont="1" applyFill="1" applyBorder="1" applyAlignment="1">
      <alignment vertical="center" wrapText="1"/>
    </xf>
    <xf numFmtId="3" fontId="31" fillId="2" borderId="1" xfId="0" applyNumberFormat="1" applyFont="1" applyFill="1" applyBorder="1">
      <alignment vertical="center"/>
    </xf>
    <xf numFmtId="0" fontId="22" fillId="8" borderId="1" xfId="0" applyFont="1" applyFill="1" applyBorder="1" applyAlignment="1">
      <alignment horizontal="center" vertical="center" wrapText="1"/>
    </xf>
    <xf numFmtId="3" fontId="36" fillId="8" borderId="1" xfId="0" applyNumberFormat="1" applyFont="1" applyFill="1" applyBorder="1" applyAlignment="1">
      <alignment vertical="center" wrapText="1"/>
    </xf>
    <xf numFmtId="10" fontId="36" fillId="8" borderId="1" xfId="0" applyNumberFormat="1" applyFont="1" applyFill="1" applyBorder="1">
      <alignment vertical="center"/>
    </xf>
    <xf numFmtId="0" fontId="8" fillId="8" borderId="1" xfId="0" applyFont="1" applyFill="1" applyBorder="1" applyAlignment="1">
      <alignment horizontal="left" vertical="top" wrapText="1"/>
    </xf>
    <xf numFmtId="0" fontId="8" fillId="0" borderId="4" xfId="0" applyFont="1" applyBorder="1" applyAlignment="1">
      <alignment horizontal="left" vertical="center" wrapText="1"/>
    </xf>
    <xf numFmtId="0" fontId="0" fillId="0" borderId="4" xfId="0" applyBorder="1" applyAlignment="1">
      <alignment horizontal="left" vertical="center" wrapText="1"/>
    </xf>
    <xf numFmtId="0" fontId="22"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wrapText="1"/>
    </xf>
    <xf numFmtId="0" fontId="23" fillId="0" borderId="0" xfId="0" applyFont="1" applyAlignment="1">
      <alignment horizontal="left" vertical="center" wrapText="1"/>
    </xf>
    <xf numFmtId="0" fontId="0" fillId="0" borderId="0" xfId="0" applyAlignment="1">
      <alignment vertical="center" wrapText="1"/>
    </xf>
    <xf numFmtId="176" fontId="11" fillId="0" borderId="0" xfId="0" applyNumberFormat="1" applyFont="1" applyAlignment="1">
      <alignment vertical="center" wrapText="1"/>
    </xf>
    <xf numFmtId="0" fontId="38" fillId="0" borderId="0" xfId="0" applyFont="1" applyAlignment="1">
      <alignment vertical="center" wrapText="1"/>
    </xf>
    <xf numFmtId="3" fontId="38" fillId="0" borderId="0" xfId="0" applyNumberFormat="1" applyFont="1" applyAlignment="1">
      <alignment horizontal="center" vertical="center" wrapText="1"/>
    </xf>
    <xf numFmtId="0" fontId="0" fillId="0" borderId="0" xfId="0" applyAlignment="1">
      <alignment vertical="center" wrapText="1"/>
    </xf>
    <xf numFmtId="3" fontId="0" fillId="0" borderId="0" xfId="0" applyNumberFormat="1" applyAlignment="1">
      <alignment vertical="center" wrapText="1"/>
    </xf>
    <xf numFmtId="0" fontId="0" fillId="0" borderId="0" xfId="0">
      <alignment vertical="center"/>
    </xf>
    <xf numFmtId="0" fontId="40" fillId="0" borderId="0" xfId="0" applyFont="1">
      <alignment vertical="center"/>
    </xf>
    <xf numFmtId="176" fontId="8" fillId="0" borderId="0" xfId="0" applyNumberFormat="1" applyFont="1">
      <alignment vertical="center"/>
    </xf>
    <xf numFmtId="0" fontId="8" fillId="0" borderId="0" xfId="0" applyFont="1" applyAlignment="1">
      <alignment horizontal="left" vertical="center"/>
    </xf>
    <xf numFmtId="0" fontId="41" fillId="0" borderId="0" xfId="0" applyFont="1">
      <alignment vertical="center"/>
    </xf>
    <xf numFmtId="3" fontId="41" fillId="0" borderId="0" xfId="0" applyNumberFormat="1" applyFo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70F2-D6D2-4DC8-AF66-224FCBA3AAFF}">
  <sheetPr>
    <pageSetUpPr fitToPage="1"/>
  </sheetPr>
  <dimension ref="A2:L202"/>
  <sheetViews>
    <sheetView tabSelected="1" zoomScale="85" zoomScaleNormal="85" workbookViewId="0">
      <selection activeCell="AA15" sqref="AA15"/>
    </sheetView>
  </sheetViews>
  <sheetFormatPr defaultColWidth="9.5" defaultRowHeight="16.5" x14ac:dyDescent="0.25"/>
  <cols>
    <col min="1" max="2" width="13.5" customWidth="1"/>
    <col min="3" max="3" width="16" customWidth="1"/>
    <col min="4" max="4" width="15.125" customWidth="1"/>
    <col min="5" max="5" width="13" customWidth="1"/>
    <col min="6" max="6" width="14.125" customWidth="1"/>
    <col min="7" max="7" width="15.875" customWidth="1"/>
    <col min="8" max="8" width="13" customWidth="1"/>
    <col min="9" max="9" width="16.375" customWidth="1"/>
    <col min="10" max="10" width="10.625" customWidth="1"/>
    <col min="11" max="12" width="15.125" customWidth="1"/>
    <col min="191" max="192" width="13.5" customWidth="1"/>
    <col min="193" max="193" width="16" customWidth="1"/>
    <col min="194" max="194" width="15.125" customWidth="1"/>
    <col min="195" max="198" width="13" customWidth="1"/>
    <col min="199" max="199" width="16.375" customWidth="1"/>
    <col min="200" max="200" width="10.625" customWidth="1"/>
    <col min="201" max="202" width="17" customWidth="1"/>
    <col min="203" max="203" width="14" customWidth="1"/>
    <col min="204" max="204" width="14.625" bestFit="1" customWidth="1"/>
    <col min="205" max="205" width="12" customWidth="1"/>
    <col min="206" max="206" width="15.875" bestFit="1" customWidth="1"/>
    <col min="207" max="207" width="14.5" bestFit="1" customWidth="1"/>
    <col min="208" max="208" width="14.5" customWidth="1"/>
    <col min="209" max="210" width="15.875" bestFit="1" customWidth="1"/>
    <col min="211" max="211" width="14.25" bestFit="1" customWidth="1"/>
    <col min="212" max="212" width="15.875" bestFit="1" customWidth="1"/>
    <col min="447" max="448" width="13.5" customWidth="1"/>
    <col min="449" max="449" width="16" customWidth="1"/>
    <col min="450" max="450" width="15.125" customWidth="1"/>
    <col min="451" max="454" width="13" customWidth="1"/>
    <col min="455" max="455" width="16.375" customWidth="1"/>
    <col min="456" max="456" width="10.625" customWidth="1"/>
    <col min="457" max="458" width="17" customWidth="1"/>
    <col min="459" max="459" width="14" customWidth="1"/>
    <col min="460" max="460" width="14.625" bestFit="1" customWidth="1"/>
    <col min="461" max="461" width="12" customWidth="1"/>
    <col min="462" max="462" width="15.875" bestFit="1" customWidth="1"/>
    <col min="463" max="463" width="14.5" bestFit="1" customWidth="1"/>
    <col min="464" max="464" width="14.5" customWidth="1"/>
    <col min="465" max="466" width="15.875" bestFit="1" customWidth="1"/>
    <col min="467" max="467" width="14.25" bestFit="1" customWidth="1"/>
    <col min="468" max="468" width="15.875" bestFit="1" customWidth="1"/>
    <col min="703" max="704" width="13.5" customWidth="1"/>
    <col min="705" max="705" width="16" customWidth="1"/>
    <col min="706" max="706" width="15.125" customWidth="1"/>
    <col min="707" max="710" width="13" customWidth="1"/>
    <col min="711" max="711" width="16.375" customWidth="1"/>
    <col min="712" max="712" width="10.625" customWidth="1"/>
    <col min="713" max="714" width="17" customWidth="1"/>
    <col min="715" max="715" width="14" customWidth="1"/>
    <col min="716" max="716" width="14.625" bestFit="1" customWidth="1"/>
    <col min="717" max="717" width="12" customWidth="1"/>
    <col min="718" max="718" width="15.875" bestFit="1" customWidth="1"/>
    <col min="719" max="719" width="14.5" bestFit="1" customWidth="1"/>
    <col min="720" max="720" width="14.5" customWidth="1"/>
    <col min="721" max="722" width="15.875" bestFit="1" customWidth="1"/>
    <col min="723" max="723" width="14.25" bestFit="1" customWidth="1"/>
    <col min="724" max="724" width="15.875" bestFit="1" customWidth="1"/>
    <col min="959" max="960" width="13.5" customWidth="1"/>
    <col min="961" max="961" width="16" customWidth="1"/>
    <col min="962" max="962" width="15.125" customWidth="1"/>
    <col min="963" max="966" width="13" customWidth="1"/>
    <col min="967" max="967" width="16.375" customWidth="1"/>
    <col min="968" max="968" width="10.625" customWidth="1"/>
    <col min="969" max="970" width="17" customWidth="1"/>
    <col min="971" max="971" width="14" customWidth="1"/>
    <col min="972" max="972" width="14.625" bestFit="1" customWidth="1"/>
    <col min="973" max="973" width="12" customWidth="1"/>
    <col min="974" max="974" width="15.875" bestFit="1" customWidth="1"/>
    <col min="975" max="975" width="14.5" bestFit="1" customWidth="1"/>
    <col min="976" max="976" width="14.5" customWidth="1"/>
    <col min="977" max="978" width="15.875" bestFit="1" customWidth="1"/>
    <col min="979" max="979" width="14.25" bestFit="1" customWidth="1"/>
    <col min="980" max="980" width="15.875" bestFit="1" customWidth="1"/>
    <col min="1215" max="1216" width="13.5" customWidth="1"/>
    <col min="1217" max="1217" width="16" customWidth="1"/>
    <col min="1218" max="1218" width="15.125" customWidth="1"/>
    <col min="1219" max="1222" width="13" customWidth="1"/>
    <col min="1223" max="1223" width="16.375" customWidth="1"/>
    <col min="1224" max="1224" width="10.625" customWidth="1"/>
    <col min="1225" max="1226" width="17" customWidth="1"/>
    <col min="1227" max="1227" width="14" customWidth="1"/>
    <col min="1228" max="1228" width="14.625" bestFit="1" customWidth="1"/>
    <col min="1229" max="1229" width="12" customWidth="1"/>
    <col min="1230" max="1230" width="15.875" bestFit="1" customWidth="1"/>
    <col min="1231" max="1231" width="14.5" bestFit="1" customWidth="1"/>
    <col min="1232" max="1232" width="14.5" customWidth="1"/>
    <col min="1233" max="1234" width="15.875" bestFit="1" customWidth="1"/>
    <col min="1235" max="1235" width="14.25" bestFit="1" customWidth="1"/>
    <col min="1236" max="1236" width="15.875" bestFit="1" customWidth="1"/>
    <col min="1471" max="1472" width="13.5" customWidth="1"/>
    <col min="1473" max="1473" width="16" customWidth="1"/>
    <col min="1474" max="1474" width="15.125" customWidth="1"/>
    <col min="1475" max="1478" width="13" customWidth="1"/>
    <col min="1479" max="1479" width="16.375" customWidth="1"/>
    <col min="1480" max="1480" width="10.625" customWidth="1"/>
    <col min="1481" max="1482" width="17" customWidth="1"/>
    <col min="1483" max="1483" width="14" customWidth="1"/>
    <col min="1484" max="1484" width="14.625" bestFit="1" customWidth="1"/>
    <col min="1485" max="1485" width="12" customWidth="1"/>
    <col min="1486" max="1486" width="15.875" bestFit="1" customWidth="1"/>
    <col min="1487" max="1487" width="14.5" bestFit="1" customWidth="1"/>
    <col min="1488" max="1488" width="14.5" customWidth="1"/>
    <col min="1489" max="1490" width="15.875" bestFit="1" customWidth="1"/>
    <col min="1491" max="1491" width="14.25" bestFit="1" customWidth="1"/>
    <col min="1492" max="1492" width="15.875" bestFit="1" customWidth="1"/>
    <col min="1727" max="1728" width="13.5" customWidth="1"/>
    <col min="1729" max="1729" width="16" customWidth="1"/>
    <col min="1730" max="1730" width="15.125" customWidth="1"/>
    <col min="1731" max="1734" width="13" customWidth="1"/>
    <col min="1735" max="1735" width="16.375" customWidth="1"/>
    <col min="1736" max="1736" width="10.625" customWidth="1"/>
    <col min="1737" max="1738" width="17" customWidth="1"/>
    <col min="1739" max="1739" width="14" customWidth="1"/>
    <col min="1740" max="1740" width="14.625" bestFit="1" customWidth="1"/>
    <col min="1741" max="1741" width="12" customWidth="1"/>
    <col min="1742" max="1742" width="15.875" bestFit="1" customWidth="1"/>
    <col min="1743" max="1743" width="14.5" bestFit="1" customWidth="1"/>
    <col min="1744" max="1744" width="14.5" customWidth="1"/>
    <col min="1745" max="1746" width="15.875" bestFit="1" customWidth="1"/>
    <col min="1747" max="1747" width="14.25" bestFit="1" customWidth="1"/>
    <col min="1748" max="1748" width="15.875" bestFit="1" customWidth="1"/>
    <col min="1983" max="1984" width="13.5" customWidth="1"/>
    <col min="1985" max="1985" width="16" customWidth="1"/>
    <col min="1986" max="1986" width="15.125" customWidth="1"/>
    <col min="1987" max="1990" width="13" customWidth="1"/>
    <col min="1991" max="1991" width="16.375" customWidth="1"/>
    <col min="1992" max="1992" width="10.625" customWidth="1"/>
    <col min="1993" max="1994" width="17" customWidth="1"/>
    <col min="1995" max="1995" width="14" customWidth="1"/>
    <col min="1996" max="1996" width="14.625" bestFit="1" customWidth="1"/>
    <col min="1997" max="1997" width="12" customWidth="1"/>
    <col min="1998" max="1998" width="15.875" bestFit="1" customWidth="1"/>
    <col min="1999" max="1999" width="14.5" bestFit="1" customWidth="1"/>
    <col min="2000" max="2000" width="14.5" customWidth="1"/>
    <col min="2001" max="2002" width="15.875" bestFit="1" customWidth="1"/>
    <col min="2003" max="2003" width="14.25" bestFit="1" customWidth="1"/>
    <col min="2004" max="2004" width="15.875" bestFit="1" customWidth="1"/>
    <col min="2239" max="2240" width="13.5" customWidth="1"/>
    <col min="2241" max="2241" width="16" customWidth="1"/>
    <col min="2242" max="2242" width="15.125" customWidth="1"/>
    <col min="2243" max="2246" width="13" customWidth="1"/>
    <col min="2247" max="2247" width="16.375" customWidth="1"/>
    <col min="2248" max="2248" width="10.625" customWidth="1"/>
    <col min="2249" max="2250" width="17" customWidth="1"/>
    <col min="2251" max="2251" width="14" customWidth="1"/>
    <col min="2252" max="2252" width="14.625" bestFit="1" customWidth="1"/>
    <col min="2253" max="2253" width="12" customWidth="1"/>
    <col min="2254" max="2254" width="15.875" bestFit="1" customWidth="1"/>
    <col min="2255" max="2255" width="14.5" bestFit="1" customWidth="1"/>
    <col min="2256" max="2256" width="14.5" customWidth="1"/>
    <col min="2257" max="2258" width="15.875" bestFit="1" customWidth="1"/>
    <col min="2259" max="2259" width="14.25" bestFit="1" customWidth="1"/>
    <col min="2260" max="2260" width="15.875" bestFit="1" customWidth="1"/>
    <col min="2495" max="2496" width="13.5" customWidth="1"/>
    <col min="2497" max="2497" width="16" customWidth="1"/>
    <col min="2498" max="2498" width="15.125" customWidth="1"/>
    <col min="2499" max="2502" width="13" customWidth="1"/>
    <col min="2503" max="2503" width="16.375" customWidth="1"/>
    <col min="2504" max="2504" width="10.625" customWidth="1"/>
    <col min="2505" max="2506" width="17" customWidth="1"/>
    <col min="2507" max="2507" width="14" customWidth="1"/>
    <col min="2508" max="2508" width="14.625" bestFit="1" customWidth="1"/>
    <col min="2509" max="2509" width="12" customWidth="1"/>
    <col min="2510" max="2510" width="15.875" bestFit="1" customWidth="1"/>
    <col min="2511" max="2511" width="14.5" bestFit="1" customWidth="1"/>
    <col min="2512" max="2512" width="14.5" customWidth="1"/>
    <col min="2513" max="2514" width="15.875" bestFit="1" customWidth="1"/>
    <col min="2515" max="2515" width="14.25" bestFit="1" customWidth="1"/>
    <col min="2516" max="2516" width="15.875" bestFit="1" customWidth="1"/>
    <col min="2751" max="2752" width="13.5" customWidth="1"/>
    <col min="2753" max="2753" width="16" customWidth="1"/>
    <col min="2754" max="2754" width="15.125" customWidth="1"/>
    <col min="2755" max="2758" width="13" customWidth="1"/>
    <col min="2759" max="2759" width="16.375" customWidth="1"/>
    <col min="2760" max="2760" width="10.625" customWidth="1"/>
    <col min="2761" max="2762" width="17" customWidth="1"/>
    <col min="2763" max="2763" width="14" customWidth="1"/>
    <col min="2764" max="2764" width="14.625" bestFit="1" customWidth="1"/>
    <col min="2765" max="2765" width="12" customWidth="1"/>
    <col min="2766" max="2766" width="15.875" bestFit="1" customWidth="1"/>
    <col min="2767" max="2767" width="14.5" bestFit="1" customWidth="1"/>
    <col min="2768" max="2768" width="14.5" customWidth="1"/>
    <col min="2769" max="2770" width="15.875" bestFit="1" customWidth="1"/>
    <col min="2771" max="2771" width="14.25" bestFit="1" customWidth="1"/>
    <col min="2772" max="2772" width="15.875" bestFit="1" customWidth="1"/>
    <col min="3007" max="3008" width="13.5" customWidth="1"/>
    <col min="3009" max="3009" width="16" customWidth="1"/>
    <col min="3010" max="3010" width="15.125" customWidth="1"/>
    <col min="3011" max="3014" width="13" customWidth="1"/>
    <col min="3015" max="3015" width="16.375" customWidth="1"/>
    <col min="3016" max="3016" width="10.625" customWidth="1"/>
    <col min="3017" max="3018" width="17" customWidth="1"/>
    <col min="3019" max="3019" width="14" customWidth="1"/>
    <col min="3020" max="3020" width="14.625" bestFit="1" customWidth="1"/>
    <col min="3021" max="3021" width="12" customWidth="1"/>
    <col min="3022" max="3022" width="15.875" bestFit="1" customWidth="1"/>
    <col min="3023" max="3023" width="14.5" bestFit="1" customWidth="1"/>
    <col min="3024" max="3024" width="14.5" customWidth="1"/>
    <col min="3025" max="3026" width="15.875" bestFit="1" customWidth="1"/>
    <col min="3027" max="3027" width="14.25" bestFit="1" customWidth="1"/>
    <col min="3028" max="3028" width="15.875" bestFit="1" customWidth="1"/>
    <col min="3263" max="3264" width="13.5" customWidth="1"/>
    <col min="3265" max="3265" width="16" customWidth="1"/>
    <col min="3266" max="3266" width="15.125" customWidth="1"/>
    <col min="3267" max="3270" width="13" customWidth="1"/>
    <col min="3271" max="3271" width="16.375" customWidth="1"/>
    <col min="3272" max="3272" width="10.625" customWidth="1"/>
    <col min="3273" max="3274" width="17" customWidth="1"/>
    <col min="3275" max="3275" width="14" customWidth="1"/>
    <col min="3276" max="3276" width="14.625" bestFit="1" customWidth="1"/>
    <col min="3277" max="3277" width="12" customWidth="1"/>
    <col min="3278" max="3278" width="15.875" bestFit="1" customWidth="1"/>
    <col min="3279" max="3279" width="14.5" bestFit="1" customWidth="1"/>
    <col min="3280" max="3280" width="14.5" customWidth="1"/>
    <col min="3281" max="3282" width="15.875" bestFit="1" customWidth="1"/>
    <col min="3283" max="3283" width="14.25" bestFit="1" customWidth="1"/>
    <col min="3284" max="3284" width="15.875" bestFit="1" customWidth="1"/>
    <col min="3519" max="3520" width="13.5" customWidth="1"/>
    <col min="3521" max="3521" width="16" customWidth="1"/>
    <col min="3522" max="3522" width="15.125" customWidth="1"/>
    <col min="3523" max="3526" width="13" customWidth="1"/>
    <col min="3527" max="3527" width="16.375" customWidth="1"/>
    <col min="3528" max="3528" width="10.625" customWidth="1"/>
    <col min="3529" max="3530" width="17" customWidth="1"/>
    <col min="3531" max="3531" width="14" customWidth="1"/>
    <col min="3532" max="3532" width="14.625" bestFit="1" customWidth="1"/>
    <col min="3533" max="3533" width="12" customWidth="1"/>
    <col min="3534" max="3534" width="15.875" bestFit="1" customWidth="1"/>
    <col min="3535" max="3535" width="14.5" bestFit="1" customWidth="1"/>
    <col min="3536" max="3536" width="14.5" customWidth="1"/>
    <col min="3537" max="3538" width="15.875" bestFit="1" customWidth="1"/>
    <col min="3539" max="3539" width="14.25" bestFit="1" customWidth="1"/>
    <col min="3540" max="3540" width="15.875" bestFit="1" customWidth="1"/>
    <col min="3775" max="3776" width="13.5" customWidth="1"/>
    <col min="3777" max="3777" width="16" customWidth="1"/>
    <col min="3778" max="3778" width="15.125" customWidth="1"/>
    <col min="3779" max="3782" width="13" customWidth="1"/>
    <col min="3783" max="3783" width="16.375" customWidth="1"/>
    <col min="3784" max="3784" width="10.625" customWidth="1"/>
    <col min="3785" max="3786" width="17" customWidth="1"/>
    <col min="3787" max="3787" width="14" customWidth="1"/>
    <col min="3788" max="3788" width="14.625" bestFit="1" customWidth="1"/>
    <col min="3789" max="3789" width="12" customWidth="1"/>
    <col min="3790" max="3790" width="15.875" bestFit="1" customWidth="1"/>
    <col min="3791" max="3791" width="14.5" bestFit="1" customWidth="1"/>
    <col min="3792" max="3792" width="14.5" customWidth="1"/>
    <col min="3793" max="3794" width="15.875" bestFit="1" customWidth="1"/>
    <col min="3795" max="3795" width="14.25" bestFit="1" customWidth="1"/>
    <col min="3796" max="3796" width="15.875" bestFit="1" customWidth="1"/>
    <col min="4031" max="4032" width="13.5" customWidth="1"/>
    <col min="4033" max="4033" width="16" customWidth="1"/>
    <col min="4034" max="4034" width="15.125" customWidth="1"/>
    <col min="4035" max="4038" width="13" customWidth="1"/>
    <col min="4039" max="4039" width="16.375" customWidth="1"/>
    <col min="4040" max="4040" width="10.625" customWidth="1"/>
    <col min="4041" max="4042" width="17" customWidth="1"/>
    <col min="4043" max="4043" width="14" customWidth="1"/>
    <col min="4044" max="4044" width="14.625" bestFit="1" customWidth="1"/>
    <col min="4045" max="4045" width="12" customWidth="1"/>
    <col min="4046" max="4046" width="15.875" bestFit="1" customWidth="1"/>
    <col min="4047" max="4047" width="14.5" bestFit="1" customWidth="1"/>
    <col min="4048" max="4048" width="14.5" customWidth="1"/>
    <col min="4049" max="4050" width="15.875" bestFit="1" customWidth="1"/>
    <col min="4051" max="4051" width="14.25" bestFit="1" customWidth="1"/>
    <col min="4052" max="4052" width="15.875" bestFit="1" customWidth="1"/>
    <col min="4287" max="4288" width="13.5" customWidth="1"/>
    <col min="4289" max="4289" width="16" customWidth="1"/>
    <col min="4290" max="4290" width="15.125" customWidth="1"/>
    <col min="4291" max="4294" width="13" customWidth="1"/>
    <col min="4295" max="4295" width="16.375" customWidth="1"/>
    <col min="4296" max="4296" width="10.625" customWidth="1"/>
    <col min="4297" max="4298" width="17" customWidth="1"/>
    <col min="4299" max="4299" width="14" customWidth="1"/>
    <col min="4300" max="4300" width="14.625" bestFit="1" customWidth="1"/>
    <col min="4301" max="4301" width="12" customWidth="1"/>
    <col min="4302" max="4302" width="15.875" bestFit="1" customWidth="1"/>
    <col min="4303" max="4303" width="14.5" bestFit="1" customWidth="1"/>
    <col min="4304" max="4304" width="14.5" customWidth="1"/>
    <col min="4305" max="4306" width="15.875" bestFit="1" customWidth="1"/>
    <col min="4307" max="4307" width="14.25" bestFit="1" customWidth="1"/>
    <col min="4308" max="4308" width="15.875" bestFit="1" customWidth="1"/>
    <col min="4543" max="4544" width="13.5" customWidth="1"/>
    <col min="4545" max="4545" width="16" customWidth="1"/>
    <col min="4546" max="4546" width="15.125" customWidth="1"/>
    <col min="4547" max="4550" width="13" customWidth="1"/>
    <col min="4551" max="4551" width="16.375" customWidth="1"/>
    <col min="4552" max="4552" width="10.625" customWidth="1"/>
    <col min="4553" max="4554" width="17" customWidth="1"/>
    <col min="4555" max="4555" width="14" customWidth="1"/>
    <col min="4556" max="4556" width="14.625" bestFit="1" customWidth="1"/>
    <col min="4557" max="4557" width="12" customWidth="1"/>
    <col min="4558" max="4558" width="15.875" bestFit="1" customWidth="1"/>
    <col min="4559" max="4559" width="14.5" bestFit="1" customWidth="1"/>
    <col min="4560" max="4560" width="14.5" customWidth="1"/>
    <col min="4561" max="4562" width="15.875" bestFit="1" customWidth="1"/>
    <col min="4563" max="4563" width="14.25" bestFit="1" customWidth="1"/>
    <col min="4564" max="4564" width="15.875" bestFit="1" customWidth="1"/>
    <col min="4799" max="4800" width="13.5" customWidth="1"/>
    <col min="4801" max="4801" width="16" customWidth="1"/>
    <col min="4802" max="4802" width="15.125" customWidth="1"/>
    <col min="4803" max="4806" width="13" customWidth="1"/>
    <col min="4807" max="4807" width="16.375" customWidth="1"/>
    <col min="4808" max="4808" width="10.625" customWidth="1"/>
    <col min="4809" max="4810" width="17" customWidth="1"/>
    <col min="4811" max="4811" width="14" customWidth="1"/>
    <col min="4812" max="4812" width="14.625" bestFit="1" customWidth="1"/>
    <col min="4813" max="4813" width="12" customWidth="1"/>
    <col min="4814" max="4814" width="15.875" bestFit="1" customWidth="1"/>
    <col min="4815" max="4815" width="14.5" bestFit="1" customWidth="1"/>
    <col min="4816" max="4816" width="14.5" customWidth="1"/>
    <col min="4817" max="4818" width="15.875" bestFit="1" customWidth="1"/>
    <col min="4819" max="4819" width="14.25" bestFit="1" customWidth="1"/>
    <col min="4820" max="4820" width="15.875" bestFit="1" customWidth="1"/>
    <col min="5055" max="5056" width="13.5" customWidth="1"/>
    <col min="5057" max="5057" width="16" customWidth="1"/>
    <col min="5058" max="5058" width="15.125" customWidth="1"/>
    <col min="5059" max="5062" width="13" customWidth="1"/>
    <col min="5063" max="5063" width="16.375" customWidth="1"/>
    <col min="5064" max="5064" width="10.625" customWidth="1"/>
    <col min="5065" max="5066" width="17" customWidth="1"/>
    <col min="5067" max="5067" width="14" customWidth="1"/>
    <col min="5068" max="5068" width="14.625" bestFit="1" customWidth="1"/>
    <col min="5069" max="5069" width="12" customWidth="1"/>
    <col min="5070" max="5070" width="15.875" bestFit="1" customWidth="1"/>
    <col min="5071" max="5071" width="14.5" bestFit="1" customWidth="1"/>
    <col min="5072" max="5072" width="14.5" customWidth="1"/>
    <col min="5073" max="5074" width="15.875" bestFit="1" customWidth="1"/>
    <col min="5075" max="5075" width="14.25" bestFit="1" customWidth="1"/>
    <col min="5076" max="5076" width="15.875" bestFit="1" customWidth="1"/>
    <col min="5311" max="5312" width="13.5" customWidth="1"/>
    <col min="5313" max="5313" width="16" customWidth="1"/>
    <col min="5314" max="5314" width="15.125" customWidth="1"/>
    <col min="5315" max="5318" width="13" customWidth="1"/>
    <col min="5319" max="5319" width="16.375" customWidth="1"/>
    <col min="5320" max="5320" width="10.625" customWidth="1"/>
    <col min="5321" max="5322" width="17" customWidth="1"/>
    <col min="5323" max="5323" width="14" customWidth="1"/>
    <col min="5324" max="5324" width="14.625" bestFit="1" customWidth="1"/>
    <col min="5325" max="5325" width="12" customWidth="1"/>
    <col min="5326" max="5326" width="15.875" bestFit="1" customWidth="1"/>
    <col min="5327" max="5327" width="14.5" bestFit="1" customWidth="1"/>
    <col min="5328" max="5328" width="14.5" customWidth="1"/>
    <col min="5329" max="5330" width="15.875" bestFit="1" customWidth="1"/>
    <col min="5331" max="5331" width="14.25" bestFit="1" customWidth="1"/>
    <col min="5332" max="5332" width="15.875" bestFit="1" customWidth="1"/>
    <col min="5567" max="5568" width="13.5" customWidth="1"/>
    <col min="5569" max="5569" width="16" customWidth="1"/>
    <col min="5570" max="5570" width="15.125" customWidth="1"/>
    <col min="5571" max="5574" width="13" customWidth="1"/>
    <col min="5575" max="5575" width="16.375" customWidth="1"/>
    <col min="5576" max="5576" width="10.625" customWidth="1"/>
    <col min="5577" max="5578" width="17" customWidth="1"/>
    <col min="5579" max="5579" width="14" customWidth="1"/>
    <col min="5580" max="5580" width="14.625" bestFit="1" customWidth="1"/>
    <col min="5581" max="5581" width="12" customWidth="1"/>
    <col min="5582" max="5582" width="15.875" bestFit="1" customWidth="1"/>
    <col min="5583" max="5583" width="14.5" bestFit="1" customWidth="1"/>
    <col min="5584" max="5584" width="14.5" customWidth="1"/>
    <col min="5585" max="5586" width="15.875" bestFit="1" customWidth="1"/>
    <col min="5587" max="5587" width="14.25" bestFit="1" customWidth="1"/>
    <col min="5588" max="5588" width="15.875" bestFit="1" customWidth="1"/>
    <col min="5823" max="5824" width="13.5" customWidth="1"/>
    <col min="5825" max="5825" width="16" customWidth="1"/>
    <col min="5826" max="5826" width="15.125" customWidth="1"/>
    <col min="5827" max="5830" width="13" customWidth="1"/>
    <col min="5831" max="5831" width="16.375" customWidth="1"/>
    <col min="5832" max="5832" width="10.625" customWidth="1"/>
    <col min="5833" max="5834" width="17" customWidth="1"/>
    <col min="5835" max="5835" width="14" customWidth="1"/>
    <col min="5836" max="5836" width="14.625" bestFit="1" customWidth="1"/>
    <col min="5837" max="5837" width="12" customWidth="1"/>
    <col min="5838" max="5838" width="15.875" bestFit="1" customWidth="1"/>
    <col min="5839" max="5839" width="14.5" bestFit="1" customWidth="1"/>
    <col min="5840" max="5840" width="14.5" customWidth="1"/>
    <col min="5841" max="5842" width="15.875" bestFit="1" customWidth="1"/>
    <col min="5843" max="5843" width="14.25" bestFit="1" customWidth="1"/>
    <col min="5844" max="5844" width="15.875" bestFit="1" customWidth="1"/>
    <col min="6079" max="6080" width="13.5" customWidth="1"/>
    <col min="6081" max="6081" width="16" customWidth="1"/>
    <col min="6082" max="6082" width="15.125" customWidth="1"/>
    <col min="6083" max="6086" width="13" customWidth="1"/>
    <col min="6087" max="6087" width="16.375" customWidth="1"/>
    <col min="6088" max="6088" width="10.625" customWidth="1"/>
    <col min="6089" max="6090" width="17" customWidth="1"/>
    <col min="6091" max="6091" width="14" customWidth="1"/>
    <col min="6092" max="6092" width="14.625" bestFit="1" customWidth="1"/>
    <col min="6093" max="6093" width="12" customWidth="1"/>
    <col min="6094" max="6094" width="15.875" bestFit="1" customWidth="1"/>
    <col min="6095" max="6095" width="14.5" bestFit="1" customWidth="1"/>
    <col min="6096" max="6096" width="14.5" customWidth="1"/>
    <col min="6097" max="6098" width="15.875" bestFit="1" customWidth="1"/>
    <col min="6099" max="6099" width="14.25" bestFit="1" customWidth="1"/>
    <col min="6100" max="6100" width="15.875" bestFit="1" customWidth="1"/>
    <col min="6335" max="6336" width="13.5" customWidth="1"/>
    <col min="6337" max="6337" width="16" customWidth="1"/>
    <col min="6338" max="6338" width="15.125" customWidth="1"/>
    <col min="6339" max="6342" width="13" customWidth="1"/>
    <col min="6343" max="6343" width="16.375" customWidth="1"/>
    <col min="6344" max="6344" width="10.625" customWidth="1"/>
    <col min="6345" max="6346" width="17" customWidth="1"/>
    <col min="6347" max="6347" width="14" customWidth="1"/>
    <col min="6348" max="6348" width="14.625" bestFit="1" customWidth="1"/>
    <col min="6349" max="6349" width="12" customWidth="1"/>
    <col min="6350" max="6350" width="15.875" bestFit="1" customWidth="1"/>
    <col min="6351" max="6351" width="14.5" bestFit="1" customWidth="1"/>
    <col min="6352" max="6352" width="14.5" customWidth="1"/>
    <col min="6353" max="6354" width="15.875" bestFit="1" customWidth="1"/>
    <col min="6355" max="6355" width="14.25" bestFit="1" customWidth="1"/>
    <col min="6356" max="6356" width="15.875" bestFit="1" customWidth="1"/>
    <col min="6591" max="6592" width="13.5" customWidth="1"/>
    <col min="6593" max="6593" width="16" customWidth="1"/>
    <col min="6594" max="6594" width="15.125" customWidth="1"/>
    <col min="6595" max="6598" width="13" customWidth="1"/>
    <col min="6599" max="6599" width="16.375" customWidth="1"/>
    <col min="6600" max="6600" width="10.625" customWidth="1"/>
    <col min="6601" max="6602" width="17" customWidth="1"/>
    <col min="6603" max="6603" width="14" customWidth="1"/>
    <col min="6604" max="6604" width="14.625" bestFit="1" customWidth="1"/>
    <col min="6605" max="6605" width="12" customWidth="1"/>
    <col min="6606" max="6606" width="15.875" bestFit="1" customWidth="1"/>
    <col min="6607" max="6607" width="14.5" bestFit="1" customWidth="1"/>
    <col min="6608" max="6608" width="14.5" customWidth="1"/>
    <col min="6609" max="6610" width="15.875" bestFit="1" customWidth="1"/>
    <col min="6611" max="6611" width="14.25" bestFit="1" customWidth="1"/>
    <col min="6612" max="6612" width="15.875" bestFit="1" customWidth="1"/>
    <col min="6847" max="6848" width="13.5" customWidth="1"/>
    <col min="6849" max="6849" width="16" customWidth="1"/>
    <col min="6850" max="6850" width="15.125" customWidth="1"/>
    <col min="6851" max="6854" width="13" customWidth="1"/>
    <col min="6855" max="6855" width="16.375" customWidth="1"/>
    <col min="6856" max="6856" width="10.625" customWidth="1"/>
    <col min="6857" max="6858" width="17" customWidth="1"/>
    <col min="6859" max="6859" width="14" customWidth="1"/>
    <col min="6860" max="6860" width="14.625" bestFit="1" customWidth="1"/>
    <col min="6861" max="6861" width="12" customWidth="1"/>
    <col min="6862" max="6862" width="15.875" bestFit="1" customWidth="1"/>
    <col min="6863" max="6863" width="14.5" bestFit="1" customWidth="1"/>
    <col min="6864" max="6864" width="14.5" customWidth="1"/>
    <col min="6865" max="6866" width="15.875" bestFit="1" customWidth="1"/>
    <col min="6867" max="6867" width="14.25" bestFit="1" customWidth="1"/>
    <col min="6868" max="6868" width="15.875" bestFit="1" customWidth="1"/>
    <col min="7103" max="7104" width="13.5" customWidth="1"/>
    <col min="7105" max="7105" width="16" customWidth="1"/>
    <col min="7106" max="7106" width="15.125" customWidth="1"/>
    <col min="7107" max="7110" width="13" customWidth="1"/>
    <col min="7111" max="7111" width="16.375" customWidth="1"/>
    <col min="7112" max="7112" width="10.625" customWidth="1"/>
    <col min="7113" max="7114" width="17" customWidth="1"/>
    <col min="7115" max="7115" width="14" customWidth="1"/>
    <col min="7116" max="7116" width="14.625" bestFit="1" customWidth="1"/>
    <col min="7117" max="7117" width="12" customWidth="1"/>
    <col min="7118" max="7118" width="15.875" bestFit="1" customWidth="1"/>
    <col min="7119" max="7119" width="14.5" bestFit="1" customWidth="1"/>
    <col min="7120" max="7120" width="14.5" customWidth="1"/>
    <col min="7121" max="7122" width="15.875" bestFit="1" customWidth="1"/>
    <col min="7123" max="7123" width="14.25" bestFit="1" customWidth="1"/>
    <col min="7124" max="7124" width="15.875" bestFit="1" customWidth="1"/>
    <col min="7359" max="7360" width="13.5" customWidth="1"/>
    <col min="7361" max="7361" width="16" customWidth="1"/>
    <col min="7362" max="7362" width="15.125" customWidth="1"/>
    <col min="7363" max="7366" width="13" customWidth="1"/>
    <col min="7367" max="7367" width="16.375" customWidth="1"/>
    <col min="7368" max="7368" width="10.625" customWidth="1"/>
    <col min="7369" max="7370" width="17" customWidth="1"/>
    <col min="7371" max="7371" width="14" customWidth="1"/>
    <col min="7372" max="7372" width="14.625" bestFit="1" customWidth="1"/>
    <col min="7373" max="7373" width="12" customWidth="1"/>
    <col min="7374" max="7374" width="15.875" bestFit="1" customWidth="1"/>
    <col min="7375" max="7375" width="14.5" bestFit="1" customWidth="1"/>
    <col min="7376" max="7376" width="14.5" customWidth="1"/>
    <col min="7377" max="7378" width="15.875" bestFit="1" customWidth="1"/>
    <col min="7379" max="7379" width="14.25" bestFit="1" customWidth="1"/>
    <col min="7380" max="7380" width="15.875" bestFit="1" customWidth="1"/>
    <col min="7615" max="7616" width="13.5" customWidth="1"/>
    <col min="7617" max="7617" width="16" customWidth="1"/>
    <col min="7618" max="7618" width="15.125" customWidth="1"/>
    <col min="7619" max="7622" width="13" customWidth="1"/>
    <col min="7623" max="7623" width="16.375" customWidth="1"/>
    <col min="7624" max="7624" width="10.625" customWidth="1"/>
    <col min="7625" max="7626" width="17" customWidth="1"/>
    <col min="7627" max="7627" width="14" customWidth="1"/>
    <col min="7628" max="7628" width="14.625" bestFit="1" customWidth="1"/>
    <col min="7629" max="7629" width="12" customWidth="1"/>
    <col min="7630" max="7630" width="15.875" bestFit="1" customWidth="1"/>
    <col min="7631" max="7631" width="14.5" bestFit="1" customWidth="1"/>
    <col min="7632" max="7632" width="14.5" customWidth="1"/>
    <col min="7633" max="7634" width="15.875" bestFit="1" customWidth="1"/>
    <col min="7635" max="7635" width="14.25" bestFit="1" customWidth="1"/>
    <col min="7636" max="7636" width="15.875" bestFit="1" customWidth="1"/>
    <col min="7871" max="7872" width="13.5" customWidth="1"/>
    <col min="7873" max="7873" width="16" customWidth="1"/>
    <col min="7874" max="7874" width="15.125" customWidth="1"/>
    <col min="7875" max="7878" width="13" customWidth="1"/>
    <col min="7879" max="7879" width="16.375" customWidth="1"/>
    <col min="7880" max="7880" width="10.625" customWidth="1"/>
    <col min="7881" max="7882" width="17" customWidth="1"/>
    <col min="7883" max="7883" width="14" customWidth="1"/>
    <col min="7884" max="7884" width="14.625" bestFit="1" customWidth="1"/>
    <col min="7885" max="7885" width="12" customWidth="1"/>
    <col min="7886" max="7886" width="15.875" bestFit="1" customWidth="1"/>
    <col min="7887" max="7887" width="14.5" bestFit="1" customWidth="1"/>
    <col min="7888" max="7888" width="14.5" customWidth="1"/>
    <col min="7889" max="7890" width="15.875" bestFit="1" customWidth="1"/>
    <col min="7891" max="7891" width="14.25" bestFit="1" customWidth="1"/>
    <col min="7892" max="7892" width="15.875" bestFit="1" customWidth="1"/>
    <col min="8127" max="8128" width="13.5" customWidth="1"/>
    <col min="8129" max="8129" width="16" customWidth="1"/>
    <col min="8130" max="8130" width="15.125" customWidth="1"/>
    <col min="8131" max="8134" width="13" customWidth="1"/>
    <col min="8135" max="8135" width="16.375" customWidth="1"/>
    <col min="8136" max="8136" width="10.625" customWidth="1"/>
    <col min="8137" max="8138" width="17" customWidth="1"/>
    <col min="8139" max="8139" width="14" customWidth="1"/>
    <col min="8140" max="8140" width="14.625" bestFit="1" customWidth="1"/>
    <col min="8141" max="8141" width="12" customWidth="1"/>
    <col min="8142" max="8142" width="15.875" bestFit="1" customWidth="1"/>
    <col min="8143" max="8143" width="14.5" bestFit="1" customWidth="1"/>
    <col min="8144" max="8144" width="14.5" customWidth="1"/>
    <col min="8145" max="8146" width="15.875" bestFit="1" customWidth="1"/>
    <col min="8147" max="8147" width="14.25" bestFit="1" customWidth="1"/>
    <col min="8148" max="8148" width="15.875" bestFit="1" customWidth="1"/>
    <col min="8383" max="8384" width="13.5" customWidth="1"/>
    <col min="8385" max="8385" width="16" customWidth="1"/>
    <col min="8386" max="8386" width="15.125" customWidth="1"/>
    <col min="8387" max="8390" width="13" customWidth="1"/>
    <col min="8391" max="8391" width="16.375" customWidth="1"/>
    <col min="8392" max="8392" width="10.625" customWidth="1"/>
    <col min="8393" max="8394" width="17" customWidth="1"/>
    <col min="8395" max="8395" width="14" customWidth="1"/>
    <col min="8396" max="8396" width="14.625" bestFit="1" customWidth="1"/>
    <col min="8397" max="8397" width="12" customWidth="1"/>
    <col min="8398" max="8398" width="15.875" bestFit="1" customWidth="1"/>
    <col min="8399" max="8399" width="14.5" bestFit="1" customWidth="1"/>
    <col min="8400" max="8400" width="14.5" customWidth="1"/>
    <col min="8401" max="8402" width="15.875" bestFit="1" customWidth="1"/>
    <col min="8403" max="8403" width="14.25" bestFit="1" customWidth="1"/>
    <col min="8404" max="8404" width="15.875" bestFit="1" customWidth="1"/>
    <col min="8639" max="8640" width="13.5" customWidth="1"/>
    <col min="8641" max="8641" width="16" customWidth="1"/>
    <col min="8642" max="8642" width="15.125" customWidth="1"/>
    <col min="8643" max="8646" width="13" customWidth="1"/>
    <col min="8647" max="8647" width="16.375" customWidth="1"/>
    <col min="8648" max="8648" width="10.625" customWidth="1"/>
    <col min="8649" max="8650" width="17" customWidth="1"/>
    <col min="8651" max="8651" width="14" customWidth="1"/>
    <col min="8652" max="8652" width="14.625" bestFit="1" customWidth="1"/>
    <col min="8653" max="8653" width="12" customWidth="1"/>
    <col min="8654" max="8654" width="15.875" bestFit="1" customWidth="1"/>
    <col min="8655" max="8655" width="14.5" bestFit="1" customWidth="1"/>
    <col min="8656" max="8656" width="14.5" customWidth="1"/>
    <col min="8657" max="8658" width="15.875" bestFit="1" customWidth="1"/>
    <col min="8659" max="8659" width="14.25" bestFit="1" customWidth="1"/>
    <col min="8660" max="8660" width="15.875" bestFit="1" customWidth="1"/>
    <col min="8895" max="8896" width="13.5" customWidth="1"/>
    <col min="8897" max="8897" width="16" customWidth="1"/>
    <col min="8898" max="8898" width="15.125" customWidth="1"/>
    <col min="8899" max="8902" width="13" customWidth="1"/>
    <col min="8903" max="8903" width="16.375" customWidth="1"/>
    <col min="8904" max="8904" width="10.625" customWidth="1"/>
    <col min="8905" max="8906" width="17" customWidth="1"/>
    <col min="8907" max="8907" width="14" customWidth="1"/>
    <col min="8908" max="8908" width="14.625" bestFit="1" customWidth="1"/>
    <col min="8909" max="8909" width="12" customWidth="1"/>
    <col min="8910" max="8910" width="15.875" bestFit="1" customWidth="1"/>
    <col min="8911" max="8911" width="14.5" bestFit="1" customWidth="1"/>
    <col min="8912" max="8912" width="14.5" customWidth="1"/>
    <col min="8913" max="8914" width="15.875" bestFit="1" customWidth="1"/>
    <col min="8915" max="8915" width="14.25" bestFit="1" customWidth="1"/>
    <col min="8916" max="8916" width="15.875" bestFit="1" customWidth="1"/>
    <col min="9151" max="9152" width="13.5" customWidth="1"/>
    <col min="9153" max="9153" width="16" customWidth="1"/>
    <col min="9154" max="9154" width="15.125" customWidth="1"/>
    <col min="9155" max="9158" width="13" customWidth="1"/>
    <col min="9159" max="9159" width="16.375" customWidth="1"/>
    <col min="9160" max="9160" width="10.625" customWidth="1"/>
    <col min="9161" max="9162" width="17" customWidth="1"/>
    <col min="9163" max="9163" width="14" customWidth="1"/>
    <col min="9164" max="9164" width="14.625" bestFit="1" customWidth="1"/>
    <col min="9165" max="9165" width="12" customWidth="1"/>
    <col min="9166" max="9166" width="15.875" bestFit="1" customWidth="1"/>
    <col min="9167" max="9167" width="14.5" bestFit="1" customWidth="1"/>
    <col min="9168" max="9168" width="14.5" customWidth="1"/>
    <col min="9169" max="9170" width="15.875" bestFit="1" customWidth="1"/>
    <col min="9171" max="9171" width="14.25" bestFit="1" customWidth="1"/>
    <col min="9172" max="9172" width="15.875" bestFit="1" customWidth="1"/>
    <col min="9407" max="9408" width="13.5" customWidth="1"/>
    <col min="9409" max="9409" width="16" customWidth="1"/>
    <col min="9410" max="9410" width="15.125" customWidth="1"/>
    <col min="9411" max="9414" width="13" customWidth="1"/>
    <col min="9415" max="9415" width="16.375" customWidth="1"/>
    <col min="9416" max="9416" width="10.625" customWidth="1"/>
    <col min="9417" max="9418" width="17" customWidth="1"/>
    <col min="9419" max="9419" width="14" customWidth="1"/>
    <col min="9420" max="9420" width="14.625" bestFit="1" customWidth="1"/>
    <col min="9421" max="9421" width="12" customWidth="1"/>
    <col min="9422" max="9422" width="15.875" bestFit="1" customWidth="1"/>
    <col min="9423" max="9423" width="14.5" bestFit="1" customWidth="1"/>
    <col min="9424" max="9424" width="14.5" customWidth="1"/>
    <col min="9425" max="9426" width="15.875" bestFit="1" customWidth="1"/>
    <col min="9427" max="9427" width="14.25" bestFit="1" customWidth="1"/>
    <col min="9428" max="9428" width="15.875" bestFit="1" customWidth="1"/>
    <col min="9663" max="9664" width="13.5" customWidth="1"/>
    <col min="9665" max="9665" width="16" customWidth="1"/>
    <col min="9666" max="9666" width="15.125" customWidth="1"/>
    <col min="9667" max="9670" width="13" customWidth="1"/>
    <col min="9671" max="9671" width="16.375" customWidth="1"/>
    <col min="9672" max="9672" width="10.625" customWidth="1"/>
    <col min="9673" max="9674" width="17" customWidth="1"/>
    <col min="9675" max="9675" width="14" customWidth="1"/>
    <col min="9676" max="9676" width="14.625" bestFit="1" customWidth="1"/>
    <col min="9677" max="9677" width="12" customWidth="1"/>
    <col min="9678" max="9678" width="15.875" bestFit="1" customWidth="1"/>
    <col min="9679" max="9679" width="14.5" bestFit="1" customWidth="1"/>
    <col min="9680" max="9680" width="14.5" customWidth="1"/>
    <col min="9681" max="9682" width="15.875" bestFit="1" customWidth="1"/>
    <col min="9683" max="9683" width="14.25" bestFit="1" customWidth="1"/>
    <col min="9684" max="9684" width="15.875" bestFit="1" customWidth="1"/>
    <col min="9919" max="9920" width="13.5" customWidth="1"/>
    <col min="9921" max="9921" width="16" customWidth="1"/>
    <col min="9922" max="9922" width="15.125" customWidth="1"/>
    <col min="9923" max="9926" width="13" customWidth="1"/>
    <col min="9927" max="9927" width="16.375" customWidth="1"/>
    <col min="9928" max="9928" width="10.625" customWidth="1"/>
    <col min="9929" max="9930" width="17" customWidth="1"/>
    <col min="9931" max="9931" width="14" customWidth="1"/>
    <col min="9932" max="9932" width="14.625" bestFit="1" customWidth="1"/>
    <col min="9933" max="9933" width="12" customWidth="1"/>
    <col min="9934" max="9934" width="15.875" bestFit="1" customWidth="1"/>
    <col min="9935" max="9935" width="14.5" bestFit="1" customWidth="1"/>
    <col min="9936" max="9936" width="14.5" customWidth="1"/>
    <col min="9937" max="9938" width="15.875" bestFit="1" customWidth="1"/>
    <col min="9939" max="9939" width="14.25" bestFit="1" customWidth="1"/>
    <col min="9940" max="9940" width="15.875" bestFit="1" customWidth="1"/>
    <col min="10175" max="10176" width="13.5" customWidth="1"/>
    <col min="10177" max="10177" width="16" customWidth="1"/>
    <col min="10178" max="10178" width="15.125" customWidth="1"/>
    <col min="10179" max="10182" width="13" customWidth="1"/>
    <col min="10183" max="10183" width="16.375" customWidth="1"/>
    <col min="10184" max="10184" width="10.625" customWidth="1"/>
    <col min="10185" max="10186" width="17" customWidth="1"/>
    <col min="10187" max="10187" width="14" customWidth="1"/>
    <col min="10188" max="10188" width="14.625" bestFit="1" customWidth="1"/>
    <col min="10189" max="10189" width="12" customWidth="1"/>
    <col min="10190" max="10190" width="15.875" bestFit="1" customWidth="1"/>
    <col min="10191" max="10191" width="14.5" bestFit="1" customWidth="1"/>
    <col min="10192" max="10192" width="14.5" customWidth="1"/>
    <col min="10193" max="10194" width="15.875" bestFit="1" customWidth="1"/>
    <col min="10195" max="10195" width="14.25" bestFit="1" customWidth="1"/>
    <col min="10196" max="10196" width="15.875" bestFit="1" customWidth="1"/>
    <col min="10431" max="10432" width="13.5" customWidth="1"/>
    <col min="10433" max="10433" width="16" customWidth="1"/>
    <col min="10434" max="10434" width="15.125" customWidth="1"/>
    <col min="10435" max="10438" width="13" customWidth="1"/>
    <col min="10439" max="10439" width="16.375" customWidth="1"/>
    <col min="10440" max="10440" width="10.625" customWidth="1"/>
    <col min="10441" max="10442" width="17" customWidth="1"/>
    <col min="10443" max="10443" width="14" customWidth="1"/>
    <col min="10444" max="10444" width="14.625" bestFit="1" customWidth="1"/>
    <col min="10445" max="10445" width="12" customWidth="1"/>
    <col min="10446" max="10446" width="15.875" bestFit="1" customWidth="1"/>
    <col min="10447" max="10447" width="14.5" bestFit="1" customWidth="1"/>
    <col min="10448" max="10448" width="14.5" customWidth="1"/>
    <col min="10449" max="10450" width="15.875" bestFit="1" customWidth="1"/>
    <col min="10451" max="10451" width="14.25" bestFit="1" customWidth="1"/>
    <col min="10452" max="10452" width="15.875" bestFit="1" customWidth="1"/>
    <col min="10687" max="10688" width="13.5" customWidth="1"/>
    <col min="10689" max="10689" width="16" customWidth="1"/>
    <col min="10690" max="10690" width="15.125" customWidth="1"/>
    <col min="10691" max="10694" width="13" customWidth="1"/>
    <col min="10695" max="10695" width="16.375" customWidth="1"/>
    <col min="10696" max="10696" width="10.625" customWidth="1"/>
    <col min="10697" max="10698" width="17" customWidth="1"/>
    <col min="10699" max="10699" width="14" customWidth="1"/>
    <col min="10700" max="10700" width="14.625" bestFit="1" customWidth="1"/>
    <col min="10701" max="10701" width="12" customWidth="1"/>
    <col min="10702" max="10702" width="15.875" bestFit="1" customWidth="1"/>
    <col min="10703" max="10703" width="14.5" bestFit="1" customWidth="1"/>
    <col min="10704" max="10704" width="14.5" customWidth="1"/>
    <col min="10705" max="10706" width="15.875" bestFit="1" customWidth="1"/>
    <col min="10707" max="10707" width="14.25" bestFit="1" customWidth="1"/>
    <col min="10708" max="10708" width="15.875" bestFit="1" customWidth="1"/>
    <col min="10943" max="10944" width="13.5" customWidth="1"/>
    <col min="10945" max="10945" width="16" customWidth="1"/>
    <col min="10946" max="10946" width="15.125" customWidth="1"/>
    <col min="10947" max="10950" width="13" customWidth="1"/>
    <col min="10951" max="10951" width="16.375" customWidth="1"/>
    <col min="10952" max="10952" width="10.625" customWidth="1"/>
    <col min="10953" max="10954" width="17" customWidth="1"/>
    <col min="10955" max="10955" width="14" customWidth="1"/>
    <col min="10956" max="10956" width="14.625" bestFit="1" customWidth="1"/>
    <col min="10957" max="10957" width="12" customWidth="1"/>
    <col min="10958" max="10958" width="15.875" bestFit="1" customWidth="1"/>
    <col min="10959" max="10959" width="14.5" bestFit="1" customWidth="1"/>
    <col min="10960" max="10960" width="14.5" customWidth="1"/>
    <col min="10961" max="10962" width="15.875" bestFit="1" customWidth="1"/>
    <col min="10963" max="10963" width="14.25" bestFit="1" customWidth="1"/>
    <col min="10964" max="10964" width="15.875" bestFit="1" customWidth="1"/>
    <col min="11199" max="11200" width="13.5" customWidth="1"/>
    <col min="11201" max="11201" width="16" customWidth="1"/>
    <col min="11202" max="11202" width="15.125" customWidth="1"/>
    <col min="11203" max="11206" width="13" customWidth="1"/>
    <col min="11207" max="11207" width="16.375" customWidth="1"/>
    <col min="11208" max="11208" width="10.625" customWidth="1"/>
    <col min="11209" max="11210" width="17" customWidth="1"/>
    <col min="11211" max="11211" width="14" customWidth="1"/>
    <col min="11212" max="11212" width="14.625" bestFit="1" customWidth="1"/>
    <col min="11213" max="11213" width="12" customWidth="1"/>
    <col min="11214" max="11214" width="15.875" bestFit="1" customWidth="1"/>
    <col min="11215" max="11215" width="14.5" bestFit="1" customWidth="1"/>
    <col min="11216" max="11216" width="14.5" customWidth="1"/>
    <col min="11217" max="11218" width="15.875" bestFit="1" customWidth="1"/>
    <col min="11219" max="11219" width="14.25" bestFit="1" customWidth="1"/>
    <col min="11220" max="11220" width="15.875" bestFit="1" customWidth="1"/>
    <col min="11455" max="11456" width="13.5" customWidth="1"/>
    <col min="11457" max="11457" width="16" customWidth="1"/>
    <col min="11458" max="11458" width="15.125" customWidth="1"/>
    <col min="11459" max="11462" width="13" customWidth="1"/>
    <col min="11463" max="11463" width="16.375" customWidth="1"/>
    <col min="11464" max="11464" width="10.625" customWidth="1"/>
    <col min="11465" max="11466" width="17" customWidth="1"/>
    <col min="11467" max="11467" width="14" customWidth="1"/>
    <col min="11468" max="11468" width="14.625" bestFit="1" customWidth="1"/>
    <col min="11469" max="11469" width="12" customWidth="1"/>
    <col min="11470" max="11470" width="15.875" bestFit="1" customWidth="1"/>
    <col min="11471" max="11471" width="14.5" bestFit="1" customWidth="1"/>
    <col min="11472" max="11472" width="14.5" customWidth="1"/>
    <col min="11473" max="11474" width="15.875" bestFit="1" customWidth="1"/>
    <col min="11475" max="11475" width="14.25" bestFit="1" customWidth="1"/>
    <col min="11476" max="11476" width="15.875" bestFit="1" customWidth="1"/>
    <col min="11711" max="11712" width="13.5" customWidth="1"/>
    <col min="11713" max="11713" width="16" customWidth="1"/>
    <col min="11714" max="11714" width="15.125" customWidth="1"/>
    <col min="11715" max="11718" width="13" customWidth="1"/>
    <col min="11719" max="11719" width="16.375" customWidth="1"/>
    <col min="11720" max="11720" width="10.625" customWidth="1"/>
    <col min="11721" max="11722" width="17" customWidth="1"/>
    <col min="11723" max="11723" width="14" customWidth="1"/>
    <col min="11724" max="11724" width="14.625" bestFit="1" customWidth="1"/>
    <col min="11725" max="11725" width="12" customWidth="1"/>
    <col min="11726" max="11726" width="15.875" bestFit="1" customWidth="1"/>
    <col min="11727" max="11727" width="14.5" bestFit="1" customWidth="1"/>
    <col min="11728" max="11728" width="14.5" customWidth="1"/>
    <col min="11729" max="11730" width="15.875" bestFit="1" customWidth="1"/>
    <col min="11731" max="11731" width="14.25" bestFit="1" customWidth="1"/>
    <col min="11732" max="11732" width="15.875" bestFit="1" customWidth="1"/>
    <col min="11967" max="11968" width="13.5" customWidth="1"/>
    <col min="11969" max="11969" width="16" customWidth="1"/>
    <col min="11970" max="11970" width="15.125" customWidth="1"/>
    <col min="11971" max="11974" width="13" customWidth="1"/>
    <col min="11975" max="11975" width="16.375" customWidth="1"/>
    <col min="11976" max="11976" width="10.625" customWidth="1"/>
    <col min="11977" max="11978" width="17" customWidth="1"/>
    <col min="11979" max="11979" width="14" customWidth="1"/>
    <col min="11980" max="11980" width="14.625" bestFit="1" customWidth="1"/>
    <col min="11981" max="11981" width="12" customWidth="1"/>
    <col min="11982" max="11982" width="15.875" bestFit="1" customWidth="1"/>
    <col min="11983" max="11983" width="14.5" bestFit="1" customWidth="1"/>
    <col min="11984" max="11984" width="14.5" customWidth="1"/>
    <col min="11985" max="11986" width="15.875" bestFit="1" customWidth="1"/>
    <col min="11987" max="11987" width="14.25" bestFit="1" customWidth="1"/>
    <col min="11988" max="11988" width="15.875" bestFit="1" customWidth="1"/>
    <col min="12223" max="12224" width="13.5" customWidth="1"/>
    <col min="12225" max="12225" width="16" customWidth="1"/>
    <col min="12226" max="12226" width="15.125" customWidth="1"/>
    <col min="12227" max="12230" width="13" customWidth="1"/>
    <col min="12231" max="12231" width="16.375" customWidth="1"/>
    <col min="12232" max="12232" width="10.625" customWidth="1"/>
    <col min="12233" max="12234" width="17" customWidth="1"/>
    <col min="12235" max="12235" width="14" customWidth="1"/>
    <col min="12236" max="12236" width="14.625" bestFit="1" customWidth="1"/>
    <col min="12237" max="12237" width="12" customWidth="1"/>
    <col min="12238" max="12238" width="15.875" bestFit="1" customWidth="1"/>
    <col min="12239" max="12239" width="14.5" bestFit="1" customWidth="1"/>
    <col min="12240" max="12240" width="14.5" customWidth="1"/>
    <col min="12241" max="12242" width="15.875" bestFit="1" customWidth="1"/>
    <col min="12243" max="12243" width="14.25" bestFit="1" customWidth="1"/>
    <col min="12244" max="12244" width="15.875" bestFit="1" customWidth="1"/>
    <col min="12479" max="12480" width="13.5" customWidth="1"/>
    <col min="12481" max="12481" width="16" customWidth="1"/>
    <col min="12482" max="12482" width="15.125" customWidth="1"/>
    <col min="12483" max="12486" width="13" customWidth="1"/>
    <col min="12487" max="12487" width="16.375" customWidth="1"/>
    <col min="12488" max="12488" width="10.625" customWidth="1"/>
    <col min="12489" max="12490" width="17" customWidth="1"/>
    <col min="12491" max="12491" width="14" customWidth="1"/>
    <col min="12492" max="12492" width="14.625" bestFit="1" customWidth="1"/>
    <col min="12493" max="12493" width="12" customWidth="1"/>
    <col min="12494" max="12494" width="15.875" bestFit="1" customWidth="1"/>
    <col min="12495" max="12495" width="14.5" bestFit="1" customWidth="1"/>
    <col min="12496" max="12496" width="14.5" customWidth="1"/>
    <col min="12497" max="12498" width="15.875" bestFit="1" customWidth="1"/>
    <col min="12499" max="12499" width="14.25" bestFit="1" customWidth="1"/>
    <col min="12500" max="12500" width="15.875" bestFit="1" customWidth="1"/>
    <col min="12735" max="12736" width="13.5" customWidth="1"/>
    <col min="12737" max="12737" width="16" customWidth="1"/>
    <col min="12738" max="12738" width="15.125" customWidth="1"/>
    <col min="12739" max="12742" width="13" customWidth="1"/>
    <col min="12743" max="12743" width="16.375" customWidth="1"/>
    <col min="12744" max="12744" width="10.625" customWidth="1"/>
    <col min="12745" max="12746" width="17" customWidth="1"/>
    <col min="12747" max="12747" width="14" customWidth="1"/>
    <col min="12748" max="12748" width="14.625" bestFit="1" customWidth="1"/>
    <col min="12749" max="12749" width="12" customWidth="1"/>
    <col min="12750" max="12750" width="15.875" bestFit="1" customWidth="1"/>
    <col min="12751" max="12751" width="14.5" bestFit="1" customWidth="1"/>
    <col min="12752" max="12752" width="14.5" customWidth="1"/>
    <col min="12753" max="12754" width="15.875" bestFit="1" customWidth="1"/>
    <col min="12755" max="12755" width="14.25" bestFit="1" customWidth="1"/>
    <col min="12756" max="12756" width="15.875" bestFit="1" customWidth="1"/>
    <col min="12991" max="12992" width="13.5" customWidth="1"/>
    <col min="12993" max="12993" width="16" customWidth="1"/>
    <col min="12994" max="12994" width="15.125" customWidth="1"/>
    <col min="12995" max="12998" width="13" customWidth="1"/>
    <col min="12999" max="12999" width="16.375" customWidth="1"/>
    <col min="13000" max="13000" width="10.625" customWidth="1"/>
    <col min="13001" max="13002" width="17" customWidth="1"/>
    <col min="13003" max="13003" width="14" customWidth="1"/>
    <col min="13004" max="13004" width="14.625" bestFit="1" customWidth="1"/>
    <col min="13005" max="13005" width="12" customWidth="1"/>
    <col min="13006" max="13006" width="15.875" bestFit="1" customWidth="1"/>
    <col min="13007" max="13007" width="14.5" bestFit="1" customWidth="1"/>
    <col min="13008" max="13008" width="14.5" customWidth="1"/>
    <col min="13009" max="13010" width="15.875" bestFit="1" customWidth="1"/>
    <col min="13011" max="13011" width="14.25" bestFit="1" customWidth="1"/>
    <col min="13012" max="13012" width="15.875" bestFit="1" customWidth="1"/>
    <col min="13247" max="13248" width="13.5" customWidth="1"/>
    <col min="13249" max="13249" width="16" customWidth="1"/>
    <col min="13250" max="13250" width="15.125" customWidth="1"/>
    <col min="13251" max="13254" width="13" customWidth="1"/>
    <col min="13255" max="13255" width="16.375" customWidth="1"/>
    <col min="13256" max="13256" width="10.625" customWidth="1"/>
    <col min="13257" max="13258" width="17" customWidth="1"/>
    <col min="13259" max="13259" width="14" customWidth="1"/>
    <col min="13260" max="13260" width="14.625" bestFit="1" customWidth="1"/>
    <col min="13261" max="13261" width="12" customWidth="1"/>
    <col min="13262" max="13262" width="15.875" bestFit="1" customWidth="1"/>
    <col min="13263" max="13263" width="14.5" bestFit="1" customWidth="1"/>
    <col min="13264" max="13264" width="14.5" customWidth="1"/>
    <col min="13265" max="13266" width="15.875" bestFit="1" customWidth="1"/>
    <col min="13267" max="13267" width="14.25" bestFit="1" customWidth="1"/>
    <col min="13268" max="13268" width="15.875" bestFit="1" customWidth="1"/>
    <col min="13503" max="13504" width="13.5" customWidth="1"/>
    <col min="13505" max="13505" width="16" customWidth="1"/>
    <col min="13506" max="13506" width="15.125" customWidth="1"/>
    <col min="13507" max="13510" width="13" customWidth="1"/>
    <col min="13511" max="13511" width="16.375" customWidth="1"/>
    <col min="13512" max="13512" width="10.625" customWidth="1"/>
    <col min="13513" max="13514" width="17" customWidth="1"/>
    <col min="13515" max="13515" width="14" customWidth="1"/>
    <col min="13516" max="13516" width="14.625" bestFit="1" customWidth="1"/>
    <col min="13517" max="13517" width="12" customWidth="1"/>
    <col min="13518" max="13518" width="15.875" bestFit="1" customWidth="1"/>
    <col min="13519" max="13519" width="14.5" bestFit="1" customWidth="1"/>
    <col min="13520" max="13520" width="14.5" customWidth="1"/>
    <col min="13521" max="13522" width="15.875" bestFit="1" customWidth="1"/>
    <col min="13523" max="13523" width="14.25" bestFit="1" customWidth="1"/>
    <col min="13524" max="13524" width="15.875" bestFit="1" customWidth="1"/>
    <col min="13759" max="13760" width="13.5" customWidth="1"/>
    <col min="13761" max="13761" width="16" customWidth="1"/>
    <col min="13762" max="13762" width="15.125" customWidth="1"/>
    <col min="13763" max="13766" width="13" customWidth="1"/>
    <col min="13767" max="13767" width="16.375" customWidth="1"/>
    <col min="13768" max="13768" width="10.625" customWidth="1"/>
    <col min="13769" max="13770" width="17" customWidth="1"/>
    <col min="13771" max="13771" width="14" customWidth="1"/>
    <col min="13772" max="13772" width="14.625" bestFit="1" customWidth="1"/>
    <col min="13773" max="13773" width="12" customWidth="1"/>
    <col min="13774" max="13774" width="15.875" bestFit="1" customWidth="1"/>
    <col min="13775" max="13775" width="14.5" bestFit="1" customWidth="1"/>
    <col min="13776" max="13776" width="14.5" customWidth="1"/>
    <col min="13777" max="13778" width="15.875" bestFit="1" customWidth="1"/>
    <col min="13779" max="13779" width="14.25" bestFit="1" customWidth="1"/>
    <col min="13780" max="13780" width="15.875" bestFit="1" customWidth="1"/>
    <col min="14015" max="14016" width="13.5" customWidth="1"/>
    <col min="14017" max="14017" width="16" customWidth="1"/>
    <col min="14018" max="14018" width="15.125" customWidth="1"/>
    <col min="14019" max="14022" width="13" customWidth="1"/>
    <col min="14023" max="14023" width="16.375" customWidth="1"/>
    <col min="14024" max="14024" width="10.625" customWidth="1"/>
    <col min="14025" max="14026" width="17" customWidth="1"/>
    <col min="14027" max="14027" width="14" customWidth="1"/>
    <col min="14028" max="14028" width="14.625" bestFit="1" customWidth="1"/>
    <col min="14029" max="14029" width="12" customWidth="1"/>
    <col min="14030" max="14030" width="15.875" bestFit="1" customWidth="1"/>
    <col min="14031" max="14031" width="14.5" bestFit="1" customWidth="1"/>
    <col min="14032" max="14032" width="14.5" customWidth="1"/>
    <col min="14033" max="14034" width="15.875" bestFit="1" customWidth="1"/>
    <col min="14035" max="14035" width="14.25" bestFit="1" customWidth="1"/>
    <col min="14036" max="14036" width="15.875" bestFit="1" customWidth="1"/>
    <col min="14271" max="14272" width="13.5" customWidth="1"/>
    <col min="14273" max="14273" width="16" customWidth="1"/>
    <col min="14274" max="14274" width="15.125" customWidth="1"/>
    <col min="14275" max="14278" width="13" customWidth="1"/>
    <col min="14279" max="14279" width="16.375" customWidth="1"/>
    <col min="14280" max="14280" width="10.625" customWidth="1"/>
    <col min="14281" max="14282" width="17" customWidth="1"/>
    <col min="14283" max="14283" width="14" customWidth="1"/>
    <col min="14284" max="14284" width="14.625" bestFit="1" customWidth="1"/>
    <col min="14285" max="14285" width="12" customWidth="1"/>
    <col min="14286" max="14286" width="15.875" bestFit="1" customWidth="1"/>
    <col min="14287" max="14287" width="14.5" bestFit="1" customWidth="1"/>
    <col min="14288" max="14288" width="14.5" customWidth="1"/>
    <col min="14289" max="14290" width="15.875" bestFit="1" customWidth="1"/>
    <col min="14291" max="14291" width="14.25" bestFit="1" customWidth="1"/>
    <col min="14292" max="14292" width="15.875" bestFit="1" customWidth="1"/>
    <col min="14527" max="14528" width="13.5" customWidth="1"/>
    <col min="14529" max="14529" width="16" customWidth="1"/>
    <col min="14530" max="14530" width="15.125" customWidth="1"/>
    <col min="14531" max="14534" width="13" customWidth="1"/>
    <col min="14535" max="14535" width="16.375" customWidth="1"/>
    <col min="14536" max="14536" width="10.625" customWidth="1"/>
    <col min="14537" max="14538" width="17" customWidth="1"/>
    <col min="14539" max="14539" width="14" customWidth="1"/>
    <col min="14540" max="14540" width="14.625" bestFit="1" customWidth="1"/>
    <col min="14541" max="14541" width="12" customWidth="1"/>
    <col min="14542" max="14542" width="15.875" bestFit="1" customWidth="1"/>
    <col min="14543" max="14543" width="14.5" bestFit="1" customWidth="1"/>
    <col min="14544" max="14544" width="14.5" customWidth="1"/>
    <col min="14545" max="14546" width="15.875" bestFit="1" customWidth="1"/>
    <col min="14547" max="14547" width="14.25" bestFit="1" customWidth="1"/>
    <col min="14548" max="14548" width="15.875" bestFit="1" customWidth="1"/>
    <col min="14783" max="14784" width="13.5" customWidth="1"/>
    <col min="14785" max="14785" width="16" customWidth="1"/>
    <col min="14786" max="14786" width="15.125" customWidth="1"/>
    <col min="14787" max="14790" width="13" customWidth="1"/>
    <col min="14791" max="14791" width="16.375" customWidth="1"/>
    <col min="14792" max="14792" width="10.625" customWidth="1"/>
    <col min="14793" max="14794" width="17" customWidth="1"/>
    <col min="14795" max="14795" width="14" customWidth="1"/>
    <col min="14796" max="14796" width="14.625" bestFit="1" customWidth="1"/>
    <col min="14797" max="14797" width="12" customWidth="1"/>
    <col min="14798" max="14798" width="15.875" bestFit="1" customWidth="1"/>
    <col min="14799" max="14799" width="14.5" bestFit="1" customWidth="1"/>
    <col min="14800" max="14800" width="14.5" customWidth="1"/>
    <col min="14801" max="14802" width="15.875" bestFit="1" customWidth="1"/>
    <col min="14803" max="14803" width="14.25" bestFit="1" customWidth="1"/>
    <col min="14804" max="14804" width="15.875" bestFit="1" customWidth="1"/>
    <col min="15039" max="15040" width="13.5" customWidth="1"/>
    <col min="15041" max="15041" width="16" customWidth="1"/>
    <col min="15042" max="15042" width="15.125" customWidth="1"/>
    <col min="15043" max="15046" width="13" customWidth="1"/>
    <col min="15047" max="15047" width="16.375" customWidth="1"/>
    <col min="15048" max="15048" width="10.625" customWidth="1"/>
    <col min="15049" max="15050" width="17" customWidth="1"/>
    <col min="15051" max="15051" width="14" customWidth="1"/>
    <col min="15052" max="15052" width="14.625" bestFit="1" customWidth="1"/>
    <col min="15053" max="15053" width="12" customWidth="1"/>
    <col min="15054" max="15054" width="15.875" bestFit="1" customWidth="1"/>
    <col min="15055" max="15055" width="14.5" bestFit="1" customWidth="1"/>
    <col min="15056" max="15056" width="14.5" customWidth="1"/>
    <col min="15057" max="15058" width="15.875" bestFit="1" customWidth="1"/>
    <col min="15059" max="15059" width="14.25" bestFit="1" customWidth="1"/>
    <col min="15060" max="15060" width="15.875" bestFit="1" customWidth="1"/>
    <col min="15295" max="15296" width="13.5" customWidth="1"/>
    <col min="15297" max="15297" width="16" customWidth="1"/>
    <col min="15298" max="15298" width="15.125" customWidth="1"/>
    <col min="15299" max="15302" width="13" customWidth="1"/>
    <col min="15303" max="15303" width="16.375" customWidth="1"/>
    <col min="15304" max="15304" width="10.625" customWidth="1"/>
    <col min="15305" max="15306" width="17" customWidth="1"/>
    <col min="15307" max="15307" width="14" customWidth="1"/>
    <col min="15308" max="15308" width="14.625" bestFit="1" customWidth="1"/>
    <col min="15309" max="15309" width="12" customWidth="1"/>
    <col min="15310" max="15310" width="15.875" bestFit="1" customWidth="1"/>
    <col min="15311" max="15311" width="14.5" bestFit="1" customWidth="1"/>
    <col min="15312" max="15312" width="14.5" customWidth="1"/>
    <col min="15313" max="15314" width="15.875" bestFit="1" customWidth="1"/>
    <col min="15315" max="15315" width="14.25" bestFit="1" customWidth="1"/>
    <col min="15316" max="15316" width="15.875" bestFit="1" customWidth="1"/>
    <col min="15551" max="15552" width="13.5" customWidth="1"/>
    <col min="15553" max="15553" width="16" customWidth="1"/>
    <col min="15554" max="15554" width="15.125" customWidth="1"/>
    <col min="15555" max="15558" width="13" customWidth="1"/>
    <col min="15559" max="15559" width="16.375" customWidth="1"/>
    <col min="15560" max="15560" width="10.625" customWidth="1"/>
    <col min="15561" max="15562" width="17" customWidth="1"/>
    <col min="15563" max="15563" width="14" customWidth="1"/>
    <col min="15564" max="15564" width="14.625" bestFit="1" customWidth="1"/>
    <col min="15565" max="15565" width="12" customWidth="1"/>
    <col min="15566" max="15566" width="15.875" bestFit="1" customWidth="1"/>
    <col min="15567" max="15567" width="14.5" bestFit="1" customWidth="1"/>
    <col min="15568" max="15568" width="14.5" customWidth="1"/>
    <col min="15569" max="15570" width="15.875" bestFit="1" customWidth="1"/>
    <col min="15571" max="15571" width="14.25" bestFit="1" customWidth="1"/>
    <col min="15572" max="15572" width="15.875" bestFit="1" customWidth="1"/>
    <col min="15807" max="15808" width="13.5" customWidth="1"/>
    <col min="15809" max="15809" width="16" customWidth="1"/>
    <col min="15810" max="15810" width="15.125" customWidth="1"/>
    <col min="15811" max="15814" width="13" customWidth="1"/>
    <col min="15815" max="15815" width="16.375" customWidth="1"/>
    <col min="15816" max="15816" width="10.625" customWidth="1"/>
    <col min="15817" max="15818" width="17" customWidth="1"/>
    <col min="15819" max="15819" width="14" customWidth="1"/>
    <col min="15820" max="15820" width="14.625" bestFit="1" customWidth="1"/>
    <col min="15821" max="15821" width="12" customWidth="1"/>
    <col min="15822" max="15822" width="15.875" bestFit="1" customWidth="1"/>
    <col min="15823" max="15823" width="14.5" bestFit="1" customWidth="1"/>
    <col min="15824" max="15824" width="14.5" customWidth="1"/>
    <col min="15825" max="15826" width="15.875" bestFit="1" customWidth="1"/>
    <col min="15827" max="15827" width="14.25" bestFit="1" customWidth="1"/>
    <col min="15828" max="15828" width="15.875" bestFit="1" customWidth="1"/>
    <col min="16063" max="16064" width="13.5" customWidth="1"/>
    <col min="16065" max="16065" width="16" customWidth="1"/>
    <col min="16066" max="16066" width="15.125" customWidth="1"/>
    <col min="16067" max="16070" width="13" customWidth="1"/>
    <col min="16071" max="16071" width="16.375" customWidth="1"/>
    <col min="16072" max="16072" width="10.625" customWidth="1"/>
    <col min="16073" max="16074" width="17" customWidth="1"/>
    <col min="16075" max="16075" width="14" customWidth="1"/>
    <col min="16076" max="16076" width="14.625" bestFit="1" customWidth="1"/>
    <col min="16077" max="16077" width="12" customWidth="1"/>
    <col min="16078" max="16078" width="15.875" bestFit="1" customWidth="1"/>
    <col min="16079" max="16079" width="14.5" bestFit="1" customWidth="1"/>
    <col min="16080" max="16080" width="14.5" customWidth="1"/>
    <col min="16081" max="16082" width="15.875" bestFit="1" customWidth="1"/>
    <col min="16083" max="16083" width="14.25" bestFit="1" customWidth="1"/>
    <col min="16084" max="16084" width="15.875" bestFit="1" customWidth="1"/>
  </cols>
  <sheetData>
    <row r="2" spans="1:12" ht="20.25" customHeight="1" x14ac:dyDescent="0.25">
      <c r="A2" s="1" t="s">
        <v>0</v>
      </c>
      <c r="B2" s="2"/>
      <c r="C2" s="2"/>
      <c r="D2" s="2"/>
      <c r="E2" s="2"/>
      <c r="F2" s="2"/>
      <c r="G2" s="2"/>
      <c r="H2" s="2"/>
      <c r="I2" s="2"/>
      <c r="J2" s="2"/>
      <c r="K2" s="2"/>
      <c r="L2" s="2"/>
    </row>
    <row r="3" spans="1:12" ht="20.25" customHeight="1" x14ac:dyDescent="0.25">
      <c r="A3" s="3" t="s">
        <v>1</v>
      </c>
      <c r="B3" s="3"/>
      <c r="C3" s="3"/>
      <c r="D3" s="3"/>
      <c r="E3" s="3"/>
      <c r="F3" s="3"/>
      <c r="G3" s="3"/>
      <c r="H3" s="3"/>
      <c r="I3" s="3"/>
      <c r="J3" s="3"/>
      <c r="K3" s="3"/>
      <c r="L3" s="3"/>
    </row>
    <row r="4" spans="1:12" ht="20.25" customHeight="1" x14ac:dyDescent="0.25">
      <c r="A4" s="4" t="s">
        <v>2</v>
      </c>
      <c r="B4" s="4"/>
      <c r="C4" s="4"/>
      <c r="D4" s="4"/>
      <c r="E4" s="4"/>
      <c r="F4" s="4"/>
      <c r="G4" s="4"/>
      <c r="H4" s="4"/>
      <c r="I4" s="4"/>
      <c r="J4" s="4"/>
      <c r="K4" s="4"/>
      <c r="L4" s="4"/>
    </row>
    <row r="5" spans="1:12" ht="20.25" customHeight="1" x14ac:dyDescent="0.25">
      <c r="A5" s="5" t="s">
        <v>3</v>
      </c>
      <c r="B5" s="5"/>
      <c r="C5" s="5"/>
      <c r="D5" s="5"/>
      <c r="E5" s="5"/>
      <c r="F5" s="5"/>
      <c r="G5" s="5"/>
      <c r="H5" s="5"/>
      <c r="I5" s="5"/>
      <c r="J5" s="5"/>
      <c r="K5" s="5"/>
      <c r="L5" s="5"/>
    </row>
    <row r="6" spans="1:12" ht="20.25" customHeight="1" x14ac:dyDescent="0.25">
      <c r="A6" s="6" t="s">
        <v>4</v>
      </c>
      <c r="B6" s="6"/>
      <c r="C6" s="6"/>
      <c r="D6" s="6"/>
      <c r="E6" s="6"/>
      <c r="F6" s="6"/>
      <c r="G6" s="6"/>
      <c r="H6" s="6"/>
      <c r="I6" s="6"/>
      <c r="J6" s="6"/>
      <c r="K6" s="6"/>
      <c r="L6" s="6"/>
    </row>
    <row r="7" spans="1:12" ht="20.25" customHeight="1" x14ac:dyDescent="0.25">
      <c r="A7" s="6" t="s">
        <v>5</v>
      </c>
      <c r="B7" s="6"/>
      <c r="C7" s="6"/>
      <c r="D7" s="6"/>
      <c r="E7" s="6"/>
      <c r="F7" s="6"/>
      <c r="G7" s="6"/>
      <c r="H7" s="6"/>
      <c r="I7" s="6"/>
      <c r="J7" s="6"/>
      <c r="K7" s="6"/>
      <c r="L7" s="6"/>
    </row>
    <row r="8" spans="1:12" ht="20.25" customHeight="1" x14ac:dyDescent="0.25">
      <c r="A8" s="6" t="s">
        <v>6</v>
      </c>
      <c r="B8" s="6"/>
      <c r="C8" s="6"/>
      <c r="D8" s="6"/>
      <c r="E8" s="6"/>
      <c r="F8" s="6"/>
      <c r="G8" s="6"/>
      <c r="H8" s="6"/>
      <c r="I8" s="6"/>
      <c r="J8" s="6"/>
      <c r="K8" s="6"/>
      <c r="L8" s="6"/>
    </row>
    <row r="9" spans="1:12" ht="20.25" customHeight="1" x14ac:dyDescent="0.25">
      <c r="A9" s="7" t="s">
        <v>7</v>
      </c>
      <c r="B9" s="8"/>
      <c r="C9" s="8"/>
      <c r="D9" s="8"/>
      <c r="E9" s="8"/>
      <c r="F9" s="8"/>
      <c r="G9" s="8"/>
      <c r="H9" s="8"/>
      <c r="I9" s="8"/>
      <c r="J9" s="8"/>
      <c r="K9" s="8"/>
      <c r="L9" s="8"/>
    </row>
    <row r="10" spans="1:12" ht="20.25" customHeight="1" x14ac:dyDescent="0.25">
      <c r="A10" s="6" t="s">
        <v>8</v>
      </c>
      <c r="B10" s="6"/>
      <c r="C10" s="6"/>
      <c r="D10" s="6"/>
      <c r="E10" s="6"/>
      <c r="F10" s="6"/>
      <c r="G10" s="6"/>
      <c r="H10" s="6"/>
      <c r="I10" s="6"/>
      <c r="J10" s="6"/>
      <c r="K10" s="6"/>
      <c r="L10" s="6"/>
    </row>
    <row r="11" spans="1:12" ht="20.25" customHeight="1" x14ac:dyDescent="0.25">
      <c r="A11" s="7" t="s">
        <v>9</v>
      </c>
      <c r="B11" s="8"/>
      <c r="C11" s="8"/>
      <c r="D11" s="8"/>
      <c r="E11" s="9">
        <v>25263282</v>
      </c>
      <c r="F11" s="9"/>
      <c r="G11" s="10" t="s">
        <v>10</v>
      </c>
      <c r="H11" s="8"/>
      <c r="I11" s="8"/>
      <c r="J11" s="8"/>
      <c r="K11" s="8"/>
      <c r="L11" s="8"/>
    </row>
    <row r="12" spans="1:12" ht="20.25" customHeight="1" x14ac:dyDescent="0.25">
      <c r="A12" s="7" t="s">
        <v>11</v>
      </c>
      <c r="B12" s="8"/>
      <c r="C12" s="8"/>
      <c r="D12" s="8"/>
      <c r="E12" s="8"/>
      <c r="F12" s="8"/>
      <c r="G12" s="8"/>
      <c r="H12" s="8"/>
      <c r="I12" s="8"/>
      <c r="J12" s="8"/>
      <c r="K12" s="8"/>
      <c r="L12" s="8"/>
    </row>
    <row r="13" spans="1:12" ht="20.25" customHeight="1" x14ac:dyDescent="0.25">
      <c r="A13" s="5" t="s">
        <v>12</v>
      </c>
      <c r="B13" s="11"/>
      <c r="C13" s="11"/>
      <c r="D13" s="11"/>
      <c r="E13" s="11"/>
      <c r="F13" s="11"/>
      <c r="G13" s="9">
        <f>447229509+F14</f>
        <v>449879820</v>
      </c>
      <c r="H13" s="9"/>
      <c r="I13" s="10" t="s">
        <v>10</v>
      </c>
      <c r="J13" s="12"/>
      <c r="K13" s="12"/>
      <c r="L13" s="12"/>
    </row>
    <row r="14" spans="1:12" ht="20.25" customHeight="1" x14ac:dyDescent="0.25">
      <c r="A14" s="13" t="s">
        <v>13</v>
      </c>
      <c r="B14" s="14"/>
      <c r="C14" s="14"/>
      <c r="D14" s="14"/>
      <c r="E14" s="15"/>
      <c r="F14" s="16">
        <f>1403833+1246478</f>
        <v>2650311</v>
      </c>
      <c r="G14" s="10" t="s">
        <v>10</v>
      </c>
      <c r="H14" s="17"/>
      <c r="I14" s="18"/>
      <c r="J14" s="19"/>
      <c r="K14" s="20"/>
      <c r="L14" s="8"/>
    </row>
    <row r="15" spans="1:12" ht="20.25" customHeight="1" x14ac:dyDescent="0.25">
      <c r="A15" s="5" t="s">
        <v>14</v>
      </c>
      <c r="B15" s="5"/>
      <c r="C15" s="5"/>
      <c r="D15" s="5"/>
      <c r="E15" s="5"/>
      <c r="F15" s="5"/>
      <c r="G15" s="5"/>
      <c r="H15" s="5"/>
      <c r="I15" s="5"/>
      <c r="J15" s="5"/>
      <c r="K15" s="5"/>
      <c r="L15" s="5"/>
    </row>
    <row r="16" spans="1:12" ht="20.25" customHeight="1" x14ac:dyDescent="0.25">
      <c r="A16" s="5" t="s">
        <v>15</v>
      </c>
      <c r="B16" s="11"/>
      <c r="C16" s="11"/>
      <c r="D16" s="11"/>
      <c r="E16" s="11"/>
      <c r="F16" s="11"/>
      <c r="G16" s="9">
        <v>118319969</v>
      </c>
      <c r="H16" s="9"/>
      <c r="I16" s="10" t="s">
        <v>10</v>
      </c>
      <c r="J16" s="12"/>
      <c r="K16" s="12"/>
      <c r="L16" s="12"/>
    </row>
    <row r="17" spans="1:12" ht="20.25" customHeight="1" x14ac:dyDescent="0.25">
      <c r="A17" s="7" t="s">
        <v>16</v>
      </c>
      <c r="B17" s="8"/>
      <c r="C17" s="8"/>
      <c r="D17" s="8"/>
      <c r="E17" s="8"/>
      <c r="F17" s="8"/>
      <c r="G17" s="8"/>
      <c r="H17" s="8"/>
      <c r="I17" s="8"/>
      <c r="J17" s="8"/>
      <c r="K17" s="8"/>
      <c r="L17" s="8"/>
    </row>
    <row r="18" spans="1:12" ht="20.25" customHeight="1" x14ac:dyDescent="0.25">
      <c r="A18" s="21" t="s">
        <v>17</v>
      </c>
      <c r="B18" s="21"/>
      <c r="C18" s="21"/>
      <c r="D18" s="21"/>
      <c r="E18" s="21"/>
      <c r="F18" s="21"/>
      <c r="G18" s="21"/>
      <c r="H18" s="21"/>
      <c r="I18" s="21"/>
      <c r="J18" s="21"/>
      <c r="K18" s="21"/>
    </row>
    <row r="19" spans="1:12" ht="39.75" customHeight="1" x14ac:dyDescent="0.25">
      <c r="A19" s="21" t="s">
        <v>18</v>
      </c>
      <c r="B19" s="21"/>
      <c r="C19" s="21"/>
      <c r="D19" s="21"/>
      <c r="E19" s="21"/>
      <c r="F19" s="21"/>
      <c r="G19" s="21"/>
      <c r="H19" s="21"/>
      <c r="I19" s="21"/>
      <c r="J19" s="21"/>
      <c r="K19" s="21"/>
    </row>
    <row r="20" spans="1:12" ht="23.25" customHeight="1" x14ac:dyDescent="0.25">
      <c r="A20" s="5" t="s">
        <v>19</v>
      </c>
      <c r="B20" s="5"/>
      <c r="C20" s="5"/>
      <c r="D20" s="5"/>
      <c r="E20" s="5"/>
      <c r="F20" s="5"/>
      <c r="G20" s="5"/>
      <c r="H20" s="5"/>
      <c r="I20" s="5"/>
      <c r="J20" s="5"/>
      <c r="K20" s="5"/>
      <c r="L20" s="5"/>
    </row>
    <row r="21" spans="1:12" ht="42.75" customHeight="1" x14ac:dyDescent="0.25">
      <c r="A21" s="5" t="s">
        <v>20</v>
      </c>
      <c r="B21" s="5"/>
      <c r="C21" s="5"/>
      <c r="D21" s="5"/>
      <c r="E21" s="5"/>
      <c r="F21" s="5"/>
      <c r="G21" s="5"/>
      <c r="H21" s="5"/>
      <c r="I21" s="5"/>
      <c r="J21" s="5"/>
      <c r="K21" s="5"/>
      <c r="L21" s="5"/>
    </row>
    <row r="22" spans="1:12" ht="50.25" customHeight="1" x14ac:dyDescent="0.25">
      <c r="A22" s="22" t="s">
        <v>21</v>
      </c>
      <c r="B22" s="23"/>
      <c r="C22" s="23"/>
      <c r="D22" s="23"/>
      <c r="E22" s="8"/>
      <c r="F22" s="8"/>
      <c r="G22" s="8"/>
      <c r="H22" s="8"/>
      <c r="I22" s="8"/>
      <c r="J22" s="7"/>
      <c r="K22" s="24" t="s">
        <v>22</v>
      </c>
      <c r="L22" s="24"/>
    </row>
    <row r="23" spans="1:12" ht="72.75" customHeight="1" x14ac:dyDescent="0.25">
      <c r="A23" s="25" t="s">
        <v>23</v>
      </c>
      <c r="B23" s="25"/>
      <c r="C23" s="26" t="s">
        <v>24</v>
      </c>
      <c r="D23" s="27" t="s">
        <v>25</v>
      </c>
      <c r="E23" s="26" t="s">
        <v>26</v>
      </c>
      <c r="F23" s="26" t="s">
        <v>27</v>
      </c>
      <c r="G23" s="26" t="s">
        <v>28</v>
      </c>
      <c r="H23" s="26" t="s">
        <v>29</v>
      </c>
      <c r="I23" s="28" t="s">
        <v>30</v>
      </c>
      <c r="J23" s="28" t="s">
        <v>31</v>
      </c>
      <c r="K23" s="25" t="s">
        <v>32</v>
      </c>
      <c r="L23" s="25"/>
    </row>
    <row r="24" spans="1:12" ht="17.25" customHeight="1" x14ac:dyDescent="0.25">
      <c r="A24" s="29" t="s">
        <v>33</v>
      </c>
      <c r="B24" s="29"/>
      <c r="C24" s="30"/>
      <c r="D24" s="26"/>
      <c r="E24" s="26"/>
      <c r="F24" s="26"/>
      <c r="G24" s="26"/>
      <c r="H24" s="26"/>
      <c r="I24" s="31"/>
      <c r="J24" s="28"/>
      <c r="K24" s="32"/>
      <c r="L24" s="33"/>
    </row>
    <row r="25" spans="1:12" ht="21.75" customHeight="1" x14ac:dyDescent="0.25">
      <c r="A25" s="34" t="s">
        <v>34</v>
      </c>
      <c r="B25" s="34"/>
      <c r="C25" s="35"/>
      <c r="D25" s="36"/>
      <c r="E25" s="36"/>
      <c r="F25" s="36"/>
      <c r="G25" s="36"/>
      <c r="H25" s="36"/>
      <c r="I25" s="36"/>
      <c r="J25" s="36"/>
      <c r="K25" s="37"/>
      <c r="L25" s="37"/>
    </row>
    <row r="26" spans="1:12" ht="31.5" customHeight="1" x14ac:dyDescent="0.25">
      <c r="A26" s="38" t="s">
        <v>35</v>
      </c>
      <c r="B26" s="38"/>
      <c r="C26" s="39">
        <v>600000</v>
      </c>
      <c r="D26" s="40">
        <v>0</v>
      </c>
      <c r="E26" s="41">
        <v>13241</v>
      </c>
      <c r="F26" s="41">
        <v>226796</v>
      </c>
      <c r="G26" s="41"/>
      <c r="H26" s="42"/>
      <c r="I26" s="43">
        <f>SUM(E26:H26)</f>
        <v>240037</v>
      </c>
      <c r="J26" s="44">
        <f>I26/(C26+D26)</f>
        <v>0.40006166666666665</v>
      </c>
      <c r="K26" s="45" t="s">
        <v>36</v>
      </c>
      <c r="L26" s="46"/>
    </row>
    <row r="27" spans="1:12" ht="24.75" customHeight="1" x14ac:dyDescent="0.25">
      <c r="A27" s="38" t="s">
        <v>37</v>
      </c>
      <c r="B27" s="38"/>
      <c r="C27" s="47">
        <f>380000-100000</f>
        <v>280000</v>
      </c>
      <c r="D27" s="40">
        <v>0</v>
      </c>
      <c r="E27" s="47">
        <v>117700</v>
      </c>
      <c r="F27" s="47">
        <v>119930</v>
      </c>
      <c r="G27" s="47"/>
      <c r="H27" s="42"/>
      <c r="I27" s="43">
        <f t="shared" ref="I27:I50" si="0">SUM(E27:H27)</f>
        <v>237630</v>
      </c>
      <c r="J27" s="44">
        <f t="shared" ref="J27:J59" si="1">I27/(C27+D27)</f>
        <v>0.84867857142857139</v>
      </c>
      <c r="K27" s="45"/>
      <c r="L27" s="46"/>
    </row>
    <row r="28" spans="1:12" ht="36.75" customHeight="1" x14ac:dyDescent="0.25">
      <c r="A28" s="38" t="s">
        <v>38</v>
      </c>
      <c r="B28" s="38"/>
      <c r="C28" s="47">
        <f>1192578-919870</f>
        <v>272708</v>
      </c>
      <c r="D28" s="40">
        <v>0</v>
      </c>
      <c r="E28" s="41">
        <v>39006</v>
      </c>
      <c r="F28" s="47">
        <v>46612</v>
      </c>
      <c r="G28" s="47"/>
      <c r="H28" s="42"/>
      <c r="I28" s="43">
        <f t="shared" si="0"/>
        <v>85618</v>
      </c>
      <c r="J28" s="44">
        <f t="shared" si="1"/>
        <v>0.31395485280959856</v>
      </c>
      <c r="K28" s="45" t="s">
        <v>39</v>
      </c>
      <c r="L28" s="46"/>
    </row>
    <row r="29" spans="1:12" ht="30.75" customHeight="1" x14ac:dyDescent="0.25">
      <c r="A29" s="38" t="s">
        <v>40</v>
      </c>
      <c r="B29" s="38"/>
      <c r="C29" s="47">
        <f>1736681-1448595</f>
        <v>288086</v>
      </c>
      <c r="D29" s="40">
        <v>0</v>
      </c>
      <c r="E29" s="47">
        <v>9432</v>
      </c>
      <c r="F29" s="47">
        <v>11240</v>
      </c>
      <c r="G29" s="47"/>
      <c r="H29" s="42"/>
      <c r="I29" s="43">
        <f t="shared" si="0"/>
        <v>20672</v>
      </c>
      <c r="J29" s="44">
        <f t="shared" si="1"/>
        <v>7.1756350534215474E-2</v>
      </c>
      <c r="K29" s="45" t="s">
        <v>41</v>
      </c>
      <c r="L29" s="46"/>
    </row>
    <row r="30" spans="1:12" ht="32.25" customHeight="1" x14ac:dyDescent="0.25">
      <c r="A30" s="38" t="s">
        <v>42</v>
      </c>
      <c r="B30" s="38"/>
      <c r="C30" s="48">
        <f>3360+2483+41664+200000+25500+150000</f>
        <v>423007</v>
      </c>
      <c r="D30" s="40">
        <v>0</v>
      </c>
      <c r="E30" s="41">
        <v>0</v>
      </c>
      <c r="F30" s="41">
        <v>91818</v>
      </c>
      <c r="G30" s="41"/>
      <c r="H30" s="42"/>
      <c r="I30" s="43">
        <f t="shared" si="0"/>
        <v>91818</v>
      </c>
      <c r="J30" s="44">
        <f t="shared" si="1"/>
        <v>0.21706023777384298</v>
      </c>
      <c r="K30" s="45" t="s">
        <v>43</v>
      </c>
      <c r="L30" s="46"/>
    </row>
    <row r="31" spans="1:12" ht="29.25" customHeight="1" x14ac:dyDescent="0.25">
      <c r="A31" s="38" t="s">
        <v>44</v>
      </c>
      <c r="B31" s="38"/>
      <c r="C31" s="47">
        <f>771513-473850</f>
        <v>297663</v>
      </c>
      <c r="D31" s="40">
        <v>0</v>
      </c>
      <c r="E31" s="41">
        <v>0</v>
      </c>
      <c r="F31" s="47">
        <v>10819</v>
      </c>
      <c r="G31" s="47"/>
      <c r="H31" s="42"/>
      <c r="I31" s="43">
        <f t="shared" si="0"/>
        <v>10819</v>
      </c>
      <c r="J31" s="44">
        <f t="shared" si="1"/>
        <v>3.6346472352962914E-2</v>
      </c>
      <c r="K31" s="45" t="s">
        <v>45</v>
      </c>
      <c r="L31" s="46"/>
    </row>
    <row r="32" spans="1:12" ht="33.75" customHeight="1" x14ac:dyDescent="0.25">
      <c r="A32" s="38" t="s">
        <v>46</v>
      </c>
      <c r="B32" s="38"/>
      <c r="C32" s="39">
        <v>1481266</v>
      </c>
      <c r="D32" s="40">
        <v>0</v>
      </c>
      <c r="E32" s="41">
        <v>0</v>
      </c>
      <c r="F32" s="41">
        <v>740633</v>
      </c>
      <c r="G32" s="41"/>
      <c r="H32" s="42"/>
      <c r="I32" s="43">
        <f t="shared" si="0"/>
        <v>740633</v>
      </c>
      <c r="J32" s="44">
        <f t="shared" si="1"/>
        <v>0.5</v>
      </c>
      <c r="K32" s="45" t="s">
        <v>47</v>
      </c>
      <c r="L32" s="46"/>
    </row>
    <row r="33" spans="1:12" ht="36" customHeight="1" x14ac:dyDescent="0.25">
      <c r="A33" s="38" t="s">
        <v>48</v>
      </c>
      <c r="B33" s="38"/>
      <c r="C33" s="39">
        <v>60000</v>
      </c>
      <c r="D33" s="40">
        <v>0</v>
      </c>
      <c r="E33" s="41">
        <v>0</v>
      </c>
      <c r="F33" s="41">
        <v>0</v>
      </c>
      <c r="G33" s="41"/>
      <c r="H33" s="42"/>
      <c r="I33" s="43">
        <f t="shared" si="0"/>
        <v>0</v>
      </c>
      <c r="J33" s="44">
        <f t="shared" si="1"/>
        <v>0</v>
      </c>
      <c r="K33" s="45" t="s">
        <v>49</v>
      </c>
      <c r="L33" s="46"/>
    </row>
    <row r="34" spans="1:12" ht="24.75" customHeight="1" x14ac:dyDescent="0.25">
      <c r="A34" s="38" t="s">
        <v>50</v>
      </c>
      <c r="B34" s="38"/>
      <c r="C34" s="39">
        <v>115200</v>
      </c>
      <c r="D34" s="40">
        <v>0</v>
      </c>
      <c r="E34" s="41">
        <v>0</v>
      </c>
      <c r="F34" s="41">
        <v>0</v>
      </c>
      <c r="G34" s="41"/>
      <c r="H34" s="42"/>
      <c r="I34" s="43">
        <f t="shared" si="0"/>
        <v>0</v>
      </c>
      <c r="J34" s="44">
        <f t="shared" si="1"/>
        <v>0</v>
      </c>
      <c r="K34" s="45" t="s">
        <v>51</v>
      </c>
      <c r="L34" s="46"/>
    </row>
    <row r="35" spans="1:12" ht="48.75" customHeight="1" x14ac:dyDescent="0.25">
      <c r="A35" s="38" t="s">
        <v>52</v>
      </c>
      <c r="B35" s="38"/>
      <c r="C35" s="39">
        <v>400000</v>
      </c>
      <c r="D35" s="40">
        <v>0</v>
      </c>
      <c r="E35" s="41">
        <v>0</v>
      </c>
      <c r="F35" s="41">
        <v>0</v>
      </c>
      <c r="G35" s="41"/>
      <c r="H35" s="42"/>
      <c r="I35" s="43">
        <f t="shared" si="0"/>
        <v>0</v>
      </c>
      <c r="J35" s="44">
        <f t="shared" si="1"/>
        <v>0</v>
      </c>
      <c r="K35" s="45" t="s">
        <v>49</v>
      </c>
      <c r="L35" s="46"/>
    </row>
    <row r="36" spans="1:12" ht="46.5" customHeight="1" x14ac:dyDescent="0.25">
      <c r="A36" s="38" t="s">
        <v>53</v>
      </c>
      <c r="B36" s="38"/>
      <c r="C36" s="47">
        <f>5300000-4050000</f>
        <v>1250000</v>
      </c>
      <c r="D36" s="40">
        <v>0</v>
      </c>
      <c r="E36" s="49">
        <v>60317</v>
      </c>
      <c r="F36" s="47">
        <v>274596</v>
      </c>
      <c r="G36" s="47"/>
      <c r="H36" s="42"/>
      <c r="I36" s="43">
        <f t="shared" si="0"/>
        <v>334913</v>
      </c>
      <c r="J36" s="44">
        <f t="shared" si="1"/>
        <v>0.26793040000000001</v>
      </c>
      <c r="K36" s="45" t="s">
        <v>54</v>
      </c>
      <c r="L36" s="46"/>
    </row>
    <row r="37" spans="1:12" ht="32.25" customHeight="1" x14ac:dyDescent="0.25">
      <c r="A37" s="38" t="s">
        <v>55</v>
      </c>
      <c r="B37" s="38"/>
      <c r="C37" s="39">
        <v>80000</v>
      </c>
      <c r="D37" s="40">
        <v>0</v>
      </c>
      <c r="E37" s="41">
        <v>5800</v>
      </c>
      <c r="F37" s="41">
        <v>98081</v>
      </c>
      <c r="G37" s="41"/>
      <c r="H37" s="42"/>
      <c r="I37" s="43">
        <f t="shared" si="0"/>
        <v>103881</v>
      </c>
      <c r="J37" s="44">
        <f t="shared" si="1"/>
        <v>1.2985125</v>
      </c>
      <c r="K37" s="45" t="s">
        <v>56</v>
      </c>
      <c r="L37" s="46"/>
    </row>
    <row r="38" spans="1:12" ht="43.5" customHeight="1" x14ac:dyDescent="0.25">
      <c r="A38" s="38" t="s">
        <v>57</v>
      </c>
      <c r="B38" s="38"/>
      <c r="C38" s="39">
        <v>400000</v>
      </c>
      <c r="D38" s="40">
        <v>0</v>
      </c>
      <c r="E38" s="41">
        <v>0</v>
      </c>
      <c r="F38" s="41">
        <v>0</v>
      </c>
      <c r="G38" s="41"/>
      <c r="H38" s="42"/>
      <c r="I38" s="43">
        <f t="shared" si="0"/>
        <v>0</v>
      </c>
      <c r="J38" s="44">
        <f t="shared" si="1"/>
        <v>0</v>
      </c>
      <c r="K38" s="45" t="s">
        <v>58</v>
      </c>
      <c r="L38" s="46"/>
    </row>
    <row r="39" spans="1:12" ht="50.25" customHeight="1" x14ac:dyDescent="0.25">
      <c r="A39" s="38" t="s">
        <v>59</v>
      </c>
      <c r="B39" s="38"/>
      <c r="C39" s="50">
        <f>1127685-1107685</f>
        <v>20000</v>
      </c>
      <c r="D39" s="40">
        <v>0</v>
      </c>
      <c r="E39" s="41">
        <v>0</v>
      </c>
      <c r="F39" s="47">
        <v>4844</v>
      </c>
      <c r="G39" s="47"/>
      <c r="H39" s="42"/>
      <c r="I39" s="43">
        <f t="shared" si="0"/>
        <v>4844</v>
      </c>
      <c r="J39" s="44">
        <f t="shared" si="1"/>
        <v>0.2422</v>
      </c>
      <c r="K39" s="45" t="s">
        <v>60</v>
      </c>
      <c r="L39" s="46"/>
    </row>
    <row r="40" spans="1:12" ht="44.25" customHeight="1" x14ac:dyDescent="0.25">
      <c r="A40" s="38" t="s">
        <v>61</v>
      </c>
      <c r="B40" s="38"/>
      <c r="C40" s="47">
        <f>21800000-2986957</f>
        <v>18813043</v>
      </c>
      <c r="D40" s="40">
        <v>0</v>
      </c>
      <c r="E40" s="41">
        <v>0</v>
      </c>
      <c r="F40" s="41">
        <v>4200959</v>
      </c>
      <c r="G40" s="41"/>
      <c r="H40" s="42"/>
      <c r="I40" s="43">
        <f t="shared" si="0"/>
        <v>4200959</v>
      </c>
      <c r="J40" s="44">
        <f t="shared" si="1"/>
        <v>0.22330034540398383</v>
      </c>
      <c r="K40" s="45" t="s">
        <v>60</v>
      </c>
      <c r="L40" s="46"/>
    </row>
    <row r="41" spans="1:12" ht="43.35" customHeight="1" x14ac:dyDescent="0.25">
      <c r="A41" s="38" t="s">
        <v>62</v>
      </c>
      <c r="B41" s="38"/>
      <c r="C41" s="39">
        <v>440012</v>
      </c>
      <c r="D41" s="40">
        <v>0</v>
      </c>
      <c r="E41" s="41">
        <v>0</v>
      </c>
      <c r="F41" s="41">
        <v>1700</v>
      </c>
      <c r="G41" s="41"/>
      <c r="H41" s="42"/>
      <c r="I41" s="43">
        <f t="shared" si="0"/>
        <v>1700</v>
      </c>
      <c r="J41" s="44">
        <f t="shared" si="1"/>
        <v>3.8635309946092379E-3</v>
      </c>
      <c r="K41" s="45" t="s">
        <v>63</v>
      </c>
      <c r="L41" s="46"/>
    </row>
    <row r="42" spans="1:12" ht="47.25" customHeight="1" x14ac:dyDescent="0.25">
      <c r="A42" s="38" t="s">
        <v>64</v>
      </c>
      <c r="B42" s="38"/>
      <c r="C42" s="39">
        <v>1793460</v>
      </c>
      <c r="D42" s="40">
        <v>0</v>
      </c>
      <c r="E42" s="41">
        <v>0</v>
      </c>
      <c r="F42" s="41">
        <v>378832</v>
      </c>
      <c r="G42" s="41"/>
      <c r="H42" s="42"/>
      <c r="I42" s="43">
        <f t="shared" si="0"/>
        <v>378832</v>
      </c>
      <c r="J42" s="44">
        <f t="shared" si="1"/>
        <v>0.21122969009623854</v>
      </c>
      <c r="K42" s="45" t="s">
        <v>60</v>
      </c>
      <c r="L42" s="46"/>
    </row>
    <row r="43" spans="1:12" ht="51.75" customHeight="1" x14ac:dyDescent="0.25">
      <c r="A43" s="38" t="s">
        <v>65</v>
      </c>
      <c r="B43" s="38"/>
      <c r="C43" s="48">
        <f>1872000+1026000</f>
        <v>2898000</v>
      </c>
      <c r="D43" s="40">
        <v>0</v>
      </c>
      <c r="E43" s="41">
        <v>0</v>
      </c>
      <c r="F43" s="41">
        <v>302400</v>
      </c>
      <c r="G43" s="41"/>
      <c r="H43" s="42"/>
      <c r="I43" s="43">
        <f t="shared" si="0"/>
        <v>302400</v>
      </c>
      <c r="J43" s="44">
        <f t="shared" si="1"/>
        <v>0.10434782608695652</v>
      </c>
      <c r="K43" s="45" t="s">
        <v>60</v>
      </c>
      <c r="L43" s="46"/>
    </row>
    <row r="44" spans="1:12" ht="29.25" customHeight="1" x14ac:dyDescent="0.25">
      <c r="A44" s="38" t="s">
        <v>66</v>
      </c>
      <c r="B44" s="38"/>
      <c r="C44" s="39">
        <v>94000</v>
      </c>
      <c r="D44" s="40">
        <v>0</v>
      </c>
      <c r="E44" s="41">
        <v>0</v>
      </c>
      <c r="F44" s="41">
        <v>0</v>
      </c>
      <c r="G44" s="41"/>
      <c r="H44" s="42"/>
      <c r="I44" s="43">
        <f t="shared" si="0"/>
        <v>0</v>
      </c>
      <c r="J44" s="44">
        <f t="shared" si="1"/>
        <v>0</v>
      </c>
      <c r="K44" s="45" t="s">
        <v>51</v>
      </c>
      <c r="L44" s="46"/>
    </row>
    <row r="45" spans="1:12" ht="30.75" customHeight="1" x14ac:dyDescent="0.25">
      <c r="A45" s="38" t="s">
        <v>67</v>
      </c>
      <c r="B45" s="38"/>
      <c r="C45" s="39">
        <v>100000</v>
      </c>
      <c r="D45" s="40">
        <v>0</v>
      </c>
      <c r="E45" s="41">
        <v>0</v>
      </c>
      <c r="F45" s="41">
        <v>49315</v>
      </c>
      <c r="G45" s="41"/>
      <c r="H45" s="42"/>
      <c r="I45" s="43">
        <f t="shared" si="0"/>
        <v>49315</v>
      </c>
      <c r="J45" s="44">
        <f t="shared" si="1"/>
        <v>0.49314999999999998</v>
      </c>
      <c r="K45" s="45" t="s">
        <v>51</v>
      </c>
      <c r="L45" s="46"/>
    </row>
    <row r="46" spans="1:12" ht="35.25" customHeight="1" x14ac:dyDescent="0.25">
      <c r="A46" s="38" t="s">
        <v>68</v>
      </c>
      <c r="B46" s="38"/>
      <c r="C46" s="39">
        <v>4719597</v>
      </c>
      <c r="D46" s="40">
        <v>0</v>
      </c>
      <c r="E46" s="41">
        <v>871266</v>
      </c>
      <c r="F46" s="41">
        <v>674953</v>
      </c>
      <c r="G46" s="41"/>
      <c r="H46" s="42"/>
      <c r="I46" s="43">
        <f t="shared" si="0"/>
        <v>1546219</v>
      </c>
      <c r="J46" s="44">
        <f t="shared" si="1"/>
        <v>0.32761674354823089</v>
      </c>
      <c r="K46" s="45" t="s">
        <v>69</v>
      </c>
      <c r="L46" s="46"/>
    </row>
    <row r="47" spans="1:12" ht="41.25" customHeight="1" x14ac:dyDescent="0.25">
      <c r="A47" s="38" t="s">
        <v>70</v>
      </c>
      <c r="B47" s="38"/>
      <c r="C47" s="50">
        <f>(552220-496994)+(21067563-16187454)</f>
        <v>4935335</v>
      </c>
      <c r="D47" s="40">
        <v>0</v>
      </c>
      <c r="E47" s="49">
        <v>961120</v>
      </c>
      <c r="F47" s="49">
        <v>967797</v>
      </c>
      <c r="G47" s="47"/>
      <c r="H47" s="42"/>
      <c r="I47" s="43">
        <f t="shared" si="0"/>
        <v>1928917</v>
      </c>
      <c r="J47" s="44">
        <f t="shared" si="1"/>
        <v>0.39083810926715207</v>
      </c>
      <c r="K47" s="45" t="s">
        <v>71</v>
      </c>
      <c r="L47" s="46"/>
    </row>
    <row r="48" spans="1:12" ht="31.5" customHeight="1" x14ac:dyDescent="0.25">
      <c r="A48" s="51" t="s">
        <v>72</v>
      </c>
      <c r="B48" s="51"/>
      <c r="C48" s="48">
        <f>240000+100000</f>
        <v>340000</v>
      </c>
      <c r="D48" s="40">
        <v>0</v>
      </c>
      <c r="E48" s="41">
        <v>0</v>
      </c>
      <c r="F48" s="41">
        <v>19600</v>
      </c>
      <c r="G48" s="41"/>
      <c r="H48" s="42"/>
      <c r="I48" s="43">
        <f t="shared" si="0"/>
        <v>19600</v>
      </c>
      <c r="J48" s="44">
        <f t="shared" si="1"/>
        <v>5.7647058823529412E-2</v>
      </c>
      <c r="K48" s="45" t="s">
        <v>43</v>
      </c>
      <c r="L48" s="46"/>
    </row>
    <row r="49" spans="1:12" ht="42.75" customHeight="1" x14ac:dyDescent="0.25">
      <c r="A49" s="51" t="s">
        <v>73</v>
      </c>
      <c r="B49" s="51"/>
      <c r="C49" s="39">
        <v>3000000</v>
      </c>
      <c r="D49" s="40">
        <v>0</v>
      </c>
      <c r="E49" s="41">
        <v>0</v>
      </c>
      <c r="F49" s="41">
        <v>130300</v>
      </c>
      <c r="G49" s="41"/>
      <c r="H49" s="42"/>
      <c r="I49" s="43">
        <f t="shared" si="0"/>
        <v>130300</v>
      </c>
      <c r="J49" s="44">
        <f t="shared" si="1"/>
        <v>4.3433333333333331E-2</v>
      </c>
      <c r="K49" s="45" t="s">
        <v>60</v>
      </c>
      <c r="L49" s="46"/>
    </row>
    <row r="50" spans="1:12" ht="31.5" customHeight="1" x14ac:dyDescent="0.25">
      <c r="A50" s="51" t="s">
        <v>74</v>
      </c>
      <c r="B50" s="51"/>
      <c r="C50" s="39">
        <v>150000</v>
      </c>
      <c r="D50" s="40">
        <v>0</v>
      </c>
      <c r="E50" s="41">
        <v>0</v>
      </c>
      <c r="F50" s="41">
        <v>0</v>
      </c>
      <c r="G50" s="41"/>
      <c r="H50" s="42"/>
      <c r="I50" s="43">
        <f t="shared" si="0"/>
        <v>0</v>
      </c>
      <c r="J50" s="44">
        <f t="shared" si="1"/>
        <v>0</v>
      </c>
      <c r="K50" s="45" t="s">
        <v>49</v>
      </c>
      <c r="L50" s="46"/>
    </row>
    <row r="51" spans="1:12" ht="18.75" customHeight="1" x14ac:dyDescent="0.25">
      <c r="A51" s="52" t="s">
        <v>75</v>
      </c>
      <c r="B51" s="52"/>
      <c r="C51" s="53">
        <f>SUM(C26:C50)</f>
        <v>43251377</v>
      </c>
      <c r="D51" s="53">
        <f t="shared" ref="D51:I51" si="2">SUM(D26:D50)</f>
        <v>0</v>
      </c>
      <c r="E51" s="53">
        <f t="shared" si="2"/>
        <v>2077882</v>
      </c>
      <c r="F51" s="53">
        <f t="shared" si="2"/>
        <v>8351225</v>
      </c>
      <c r="G51" s="53">
        <f t="shared" si="2"/>
        <v>0</v>
      </c>
      <c r="H51" s="53">
        <f t="shared" si="2"/>
        <v>0</v>
      </c>
      <c r="I51" s="53">
        <f t="shared" si="2"/>
        <v>10429107</v>
      </c>
      <c r="J51" s="54">
        <f t="shared" si="1"/>
        <v>0.24112774490393682</v>
      </c>
      <c r="K51" s="55"/>
      <c r="L51" s="56"/>
    </row>
    <row r="52" spans="1:12" ht="21.75" customHeight="1" x14ac:dyDescent="0.25">
      <c r="A52" s="34" t="s">
        <v>76</v>
      </c>
      <c r="B52" s="34"/>
      <c r="C52" s="35"/>
      <c r="D52" s="36"/>
      <c r="E52" s="36"/>
      <c r="F52" s="36"/>
      <c r="G52" s="36"/>
      <c r="H52" s="36"/>
      <c r="I52" s="36"/>
      <c r="J52" s="36"/>
      <c r="K52" s="37"/>
      <c r="L52" s="37"/>
    </row>
    <row r="53" spans="1:12" ht="43.5" customHeight="1" x14ac:dyDescent="0.25">
      <c r="A53" s="38" t="s">
        <v>77</v>
      </c>
      <c r="B53" s="38"/>
      <c r="C53" s="57">
        <f>789877+100000+(4288000-2965000)</f>
        <v>2212877</v>
      </c>
      <c r="D53" s="40">
        <v>0</v>
      </c>
      <c r="E53" s="41">
        <f>248861+21926</f>
        <v>270787</v>
      </c>
      <c r="F53" s="41">
        <v>961184</v>
      </c>
      <c r="G53" s="47"/>
      <c r="H53" s="41"/>
      <c r="I53" s="43">
        <f t="shared" ref="I53:I58" si="3">SUM(E53:H53)</f>
        <v>1231971</v>
      </c>
      <c r="J53" s="44">
        <f t="shared" si="1"/>
        <v>0.55672818688069869</v>
      </c>
      <c r="K53" s="45"/>
      <c r="L53" s="46"/>
    </row>
    <row r="54" spans="1:12" ht="31.5" customHeight="1" x14ac:dyDescent="0.25">
      <c r="A54" s="38" t="s">
        <v>78</v>
      </c>
      <c r="B54" s="38"/>
      <c r="C54" s="41">
        <v>768186</v>
      </c>
      <c r="D54" s="40">
        <v>0</v>
      </c>
      <c r="E54" s="41">
        <v>188468</v>
      </c>
      <c r="F54" s="41">
        <v>177781</v>
      </c>
      <c r="G54" s="41"/>
      <c r="H54" s="41"/>
      <c r="I54" s="43">
        <f t="shared" si="3"/>
        <v>366249</v>
      </c>
      <c r="J54" s="44">
        <f t="shared" si="1"/>
        <v>0.47677125071271803</v>
      </c>
      <c r="K54" s="45"/>
      <c r="L54" s="46"/>
    </row>
    <row r="55" spans="1:12" ht="35.25" customHeight="1" x14ac:dyDescent="0.25">
      <c r="A55" s="38" t="s">
        <v>79</v>
      </c>
      <c r="B55" s="38"/>
      <c r="C55" s="41">
        <v>257500</v>
      </c>
      <c r="D55" s="40">
        <v>0</v>
      </c>
      <c r="E55" s="41">
        <v>39731</v>
      </c>
      <c r="F55" s="41">
        <v>99636</v>
      </c>
      <c r="G55" s="41"/>
      <c r="H55" s="41"/>
      <c r="I55" s="43">
        <f t="shared" si="3"/>
        <v>139367</v>
      </c>
      <c r="J55" s="44">
        <f t="shared" si="1"/>
        <v>0.54123106796116505</v>
      </c>
      <c r="K55" s="45"/>
      <c r="L55" s="46"/>
    </row>
    <row r="56" spans="1:12" ht="29.25" customHeight="1" x14ac:dyDescent="0.25">
      <c r="A56" s="38" t="s">
        <v>80</v>
      </c>
      <c r="B56" s="38"/>
      <c r="C56" s="41">
        <v>500000</v>
      </c>
      <c r="D56" s="40">
        <v>0</v>
      </c>
      <c r="E56" s="41">
        <v>288005</v>
      </c>
      <c r="F56" s="41">
        <v>0</v>
      </c>
      <c r="G56" s="41"/>
      <c r="H56" s="41"/>
      <c r="I56" s="43">
        <f t="shared" si="3"/>
        <v>288005</v>
      </c>
      <c r="J56" s="44">
        <f t="shared" si="1"/>
        <v>0.57601000000000002</v>
      </c>
      <c r="K56" s="45"/>
      <c r="L56" s="46"/>
    </row>
    <row r="57" spans="1:12" ht="45" customHeight="1" x14ac:dyDescent="0.25">
      <c r="A57" s="38" t="s">
        <v>81</v>
      </c>
      <c r="B57" s="38"/>
      <c r="C57" s="41">
        <v>1320000</v>
      </c>
      <c r="D57" s="40">
        <v>0</v>
      </c>
      <c r="E57" s="41">
        <v>0</v>
      </c>
      <c r="F57" s="41">
        <v>160855</v>
      </c>
      <c r="G57" s="41"/>
      <c r="H57" s="41"/>
      <c r="I57" s="43">
        <f t="shared" si="3"/>
        <v>160855</v>
      </c>
      <c r="J57" s="44">
        <f t="shared" si="1"/>
        <v>0.12185984848484849</v>
      </c>
      <c r="K57" s="45" t="s">
        <v>60</v>
      </c>
      <c r="L57" s="46"/>
    </row>
    <row r="58" spans="1:12" ht="38.25" customHeight="1" x14ac:dyDescent="0.25">
      <c r="A58" s="38" t="s">
        <v>82</v>
      </c>
      <c r="B58" s="38"/>
      <c r="C58" s="41">
        <v>900000</v>
      </c>
      <c r="D58" s="40">
        <v>0</v>
      </c>
      <c r="E58" s="41">
        <v>0</v>
      </c>
      <c r="F58" s="41">
        <v>270000</v>
      </c>
      <c r="G58" s="41"/>
      <c r="H58" s="41"/>
      <c r="I58" s="43">
        <f t="shared" si="3"/>
        <v>270000</v>
      </c>
      <c r="J58" s="44">
        <f t="shared" si="1"/>
        <v>0.3</v>
      </c>
      <c r="K58" s="45" t="s">
        <v>83</v>
      </c>
      <c r="L58" s="46"/>
    </row>
    <row r="59" spans="1:12" ht="18.75" customHeight="1" x14ac:dyDescent="0.25">
      <c r="A59" s="52" t="s">
        <v>75</v>
      </c>
      <c r="B59" s="52"/>
      <c r="C59" s="53">
        <f>SUM(C53:C58)</f>
        <v>5958563</v>
      </c>
      <c r="D59" s="53">
        <f t="shared" ref="D59:I59" si="4">SUM(D53:D58)</f>
        <v>0</v>
      </c>
      <c r="E59" s="53">
        <f t="shared" si="4"/>
        <v>786991</v>
      </c>
      <c r="F59" s="53">
        <f t="shared" si="4"/>
        <v>1669456</v>
      </c>
      <c r="G59" s="53">
        <f t="shared" si="4"/>
        <v>0</v>
      </c>
      <c r="H59" s="53">
        <f t="shared" si="4"/>
        <v>0</v>
      </c>
      <c r="I59" s="53">
        <f t="shared" si="4"/>
        <v>2456447</v>
      </c>
      <c r="J59" s="54">
        <f t="shared" si="1"/>
        <v>0.41225493462098162</v>
      </c>
      <c r="K59" s="55"/>
      <c r="L59" s="56"/>
    </row>
    <row r="60" spans="1:12" ht="21.75" customHeight="1" x14ac:dyDescent="0.25">
      <c r="A60" s="34" t="s">
        <v>84</v>
      </c>
      <c r="B60" s="34"/>
      <c r="C60" s="35"/>
      <c r="D60" s="36"/>
      <c r="E60" s="36"/>
      <c r="F60" s="36"/>
      <c r="G60" s="36"/>
      <c r="H60" s="36"/>
      <c r="I60" s="36"/>
      <c r="J60" s="36"/>
      <c r="K60" s="37"/>
      <c r="L60" s="37"/>
    </row>
    <row r="61" spans="1:12" ht="48.75" customHeight="1" x14ac:dyDescent="0.25">
      <c r="A61" s="38" t="s">
        <v>85</v>
      </c>
      <c r="B61" s="38"/>
      <c r="C61" s="57">
        <f>(3429560-3272920)+(60745420-58894260)</f>
        <v>2007800</v>
      </c>
      <c r="D61" s="40">
        <v>0</v>
      </c>
      <c r="E61" s="41">
        <v>0</v>
      </c>
      <c r="F61" s="41">
        <v>467780</v>
      </c>
      <c r="G61" s="47"/>
      <c r="H61" s="41"/>
      <c r="I61" s="43">
        <f t="shared" ref="I61" si="5">SUM(E61:H61)</f>
        <v>467780</v>
      </c>
      <c r="J61" s="44">
        <f t="shared" ref="J61:J79" si="6">I61/(C61+D61)</f>
        <v>0.23298137264667795</v>
      </c>
      <c r="K61" s="45" t="s">
        <v>60</v>
      </c>
      <c r="L61" s="46"/>
    </row>
    <row r="62" spans="1:12" ht="36" customHeight="1" x14ac:dyDescent="0.25">
      <c r="A62" s="38" t="s">
        <v>86</v>
      </c>
      <c r="B62" s="38"/>
      <c r="C62" s="58">
        <f>400000+400000</f>
        <v>800000</v>
      </c>
      <c r="D62" s="40">
        <v>0</v>
      </c>
      <c r="E62" s="41">
        <v>0</v>
      </c>
      <c r="F62" s="41">
        <v>294000</v>
      </c>
      <c r="G62" s="41"/>
      <c r="H62" s="41"/>
      <c r="I62" s="43">
        <f t="shared" ref="I62:I78" si="7">SUM(E62:H62)</f>
        <v>294000</v>
      </c>
      <c r="J62" s="44">
        <f t="shared" si="6"/>
        <v>0.36749999999999999</v>
      </c>
      <c r="K62" s="59" t="s">
        <v>87</v>
      </c>
      <c r="L62" s="60"/>
    </row>
    <row r="63" spans="1:12" ht="46.5" customHeight="1" x14ac:dyDescent="0.25">
      <c r="A63" s="38" t="s">
        <v>88</v>
      </c>
      <c r="B63" s="38"/>
      <c r="C63" s="58">
        <f>9700000+29695000</f>
        <v>39395000</v>
      </c>
      <c r="D63" s="40">
        <v>0</v>
      </c>
      <c r="E63" s="41">
        <v>13704190</v>
      </c>
      <c r="F63" s="41">
        <v>6675210</v>
      </c>
      <c r="G63" s="41"/>
      <c r="H63" s="41"/>
      <c r="I63" s="43">
        <f t="shared" si="7"/>
        <v>20379400</v>
      </c>
      <c r="J63" s="44">
        <f t="shared" si="6"/>
        <v>0.51730930321106738</v>
      </c>
      <c r="K63" s="59"/>
      <c r="L63" s="60"/>
    </row>
    <row r="64" spans="1:12" ht="29.25" customHeight="1" x14ac:dyDescent="0.25">
      <c r="A64" s="38" t="s">
        <v>89</v>
      </c>
      <c r="B64" s="38"/>
      <c r="C64" s="41">
        <v>130000</v>
      </c>
      <c r="D64" s="40">
        <v>0</v>
      </c>
      <c r="E64" s="41">
        <v>2110</v>
      </c>
      <c r="F64" s="41">
        <v>28545</v>
      </c>
      <c r="G64" s="41"/>
      <c r="H64" s="41"/>
      <c r="I64" s="43">
        <f t="shared" si="7"/>
        <v>30655</v>
      </c>
      <c r="J64" s="44">
        <f t="shared" si="6"/>
        <v>0.2358076923076923</v>
      </c>
      <c r="K64" s="59" t="s">
        <v>90</v>
      </c>
      <c r="L64" s="60"/>
    </row>
    <row r="65" spans="1:12" ht="36" customHeight="1" x14ac:dyDescent="0.25">
      <c r="A65" s="38" t="s">
        <v>91</v>
      </c>
      <c r="B65" s="38"/>
      <c r="C65" s="41">
        <v>1650994</v>
      </c>
      <c r="D65" s="40">
        <v>0</v>
      </c>
      <c r="E65" s="41">
        <v>522994</v>
      </c>
      <c r="F65" s="41">
        <v>395502</v>
      </c>
      <c r="G65" s="41"/>
      <c r="H65" s="41"/>
      <c r="I65" s="43">
        <f t="shared" si="7"/>
        <v>918496</v>
      </c>
      <c r="J65" s="44">
        <f t="shared" si="6"/>
        <v>0.55632909628987148</v>
      </c>
      <c r="K65" s="59"/>
      <c r="L65" s="60"/>
    </row>
    <row r="66" spans="1:12" ht="36.75" customHeight="1" x14ac:dyDescent="0.25">
      <c r="A66" s="38" t="s">
        <v>92</v>
      </c>
      <c r="B66" s="38"/>
      <c r="C66" s="49">
        <f>12642000-7142000</f>
        <v>5500000</v>
      </c>
      <c r="D66" s="40">
        <v>0</v>
      </c>
      <c r="E66" s="49">
        <v>902014</v>
      </c>
      <c r="F66" s="47">
        <v>1440772</v>
      </c>
      <c r="G66" s="47"/>
      <c r="H66" s="41"/>
      <c r="I66" s="43">
        <f t="shared" si="7"/>
        <v>2342786</v>
      </c>
      <c r="J66" s="44">
        <f t="shared" si="6"/>
        <v>0.4259610909090909</v>
      </c>
      <c r="K66" s="59" t="s">
        <v>93</v>
      </c>
      <c r="L66" s="60"/>
    </row>
    <row r="67" spans="1:12" ht="33" customHeight="1" x14ac:dyDescent="0.25">
      <c r="A67" s="38" t="s">
        <v>94</v>
      </c>
      <c r="B67" s="38"/>
      <c r="C67" s="49">
        <f>2852000-2592000</f>
        <v>260000</v>
      </c>
      <c r="D67" s="40">
        <v>0</v>
      </c>
      <c r="E67" s="41">
        <v>16131</v>
      </c>
      <c r="F67" s="47">
        <v>74581</v>
      </c>
      <c r="G67" s="47"/>
      <c r="H67" s="41"/>
      <c r="I67" s="43">
        <f t="shared" si="7"/>
        <v>90712</v>
      </c>
      <c r="J67" s="44">
        <f t="shared" si="6"/>
        <v>0.34889230769230767</v>
      </c>
      <c r="K67" s="59" t="s">
        <v>95</v>
      </c>
      <c r="L67" s="60"/>
    </row>
    <row r="68" spans="1:12" ht="39.75" customHeight="1" x14ac:dyDescent="0.25">
      <c r="A68" s="38" t="s">
        <v>96</v>
      </c>
      <c r="B68" s="38"/>
      <c r="C68" s="41">
        <v>1000000</v>
      </c>
      <c r="D68" s="40">
        <v>0</v>
      </c>
      <c r="E68" s="41">
        <v>1000000</v>
      </c>
      <c r="F68" s="41">
        <v>0</v>
      </c>
      <c r="G68" s="41"/>
      <c r="H68" s="41"/>
      <c r="I68" s="43">
        <f t="shared" si="7"/>
        <v>1000000</v>
      </c>
      <c r="J68" s="44">
        <f t="shared" si="6"/>
        <v>1</v>
      </c>
      <c r="K68" s="59"/>
      <c r="L68" s="60"/>
    </row>
    <row r="69" spans="1:12" ht="42.75" customHeight="1" x14ac:dyDescent="0.25">
      <c r="A69" s="38" t="s">
        <v>97</v>
      </c>
      <c r="B69" s="38"/>
      <c r="C69" s="41">
        <v>1200000</v>
      </c>
      <c r="D69" s="40">
        <v>0</v>
      </c>
      <c r="E69" s="41">
        <v>22600</v>
      </c>
      <c r="F69" s="41">
        <v>0</v>
      </c>
      <c r="G69" s="41"/>
      <c r="H69" s="41"/>
      <c r="I69" s="43">
        <f t="shared" si="7"/>
        <v>22600</v>
      </c>
      <c r="J69" s="44">
        <f t="shared" si="6"/>
        <v>1.8833333333333334E-2</v>
      </c>
      <c r="K69" s="45" t="s">
        <v>60</v>
      </c>
      <c r="L69" s="46"/>
    </row>
    <row r="70" spans="1:12" ht="47.25" customHeight="1" x14ac:dyDescent="0.25">
      <c r="A70" s="38" t="s">
        <v>98</v>
      </c>
      <c r="B70" s="38"/>
      <c r="C70" s="41">
        <v>160000</v>
      </c>
      <c r="D70" s="40">
        <v>0</v>
      </c>
      <c r="E70" s="41">
        <v>0</v>
      </c>
      <c r="F70" s="41">
        <v>91920</v>
      </c>
      <c r="G70" s="41"/>
      <c r="H70" s="41"/>
      <c r="I70" s="43">
        <f t="shared" si="7"/>
        <v>91920</v>
      </c>
      <c r="J70" s="44">
        <f t="shared" si="6"/>
        <v>0.57450000000000001</v>
      </c>
      <c r="K70" s="59"/>
      <c r="L70" s="60"/>
    </row>
    <row r="71" spans="1:12" ht="39.75" customHeight="1" x14ac:dyDescent="0.25">
      <c r="A71" s="38" t="s">
        <v>99</v>
      </c>
      <c r="B71" s="38"/>
      <c r="C71" s="41">
        <v>162000</v>
      </c>
      <c r="D71" s="40">
        <v>0</v>
      </c>
      <c r="E71" s="41">
        <v>0</v>
      </c>
      <c r="F71" s="41">
        <v>19500</v>
      </c>
      <c r="G71" s="41"/>
      <c r="H71" s="41"/>
      <c r="I71" s="43">
        <f t="shared" si="7"/>
        <v>19500</v>
      </c>
      <c r="J71" s="44">
        <f t="shared" si="6"/>
        <v>0.12037037037037036</v>
      </c>
      <c r="K71" s="45" t="s">
        <v>60</v>
      </c>
      <c r="L71" s="46"/>
    </row>
    <row r="72" spans="1:12" ht="46.5" customHeight="1" x14ac:dyDescent="0.25">
      <c r="A72" s="38" t="s">
        <v>100</v>
      </c>
      <c r="B72" s="38"/>
      <c r="C72" s="49">
        <f>4165000-3337000</f>
        <v>828000</v>
      </c>
      <c r="D72" s="40">
        <v>0</v>
      </c>
      <c r="E72" s="41">
        <v>0</v>
      </c>
      <c r="F72" s="47">
        <v>597428</v>
      </c>
      <c r="G72" s="41"/>
      <c r="H72" s="41"/>
      <c r="I72" s="43">
        <f t="shared" ref="I72:I73" si="8">SUM(E72:H72)</f>
        <v>597428</v>
      </c>
      <c r="J72" s="44">
        <f t="shared" si="6"/>
        <v>0.72153140096618362</v>
      </c>
      <c r="K72" s="45" t="s">
        <v>60</v>
      </c>
      <c r="L72" s="46"/>
    </row>
    <row r="73" spans="1:12" ht="45" customHeight="1" x14ac:dyDescent="0.25">
      <c r="A73" s="38" t="s">
        <v>101</v>
      </c>
      <c r="B73" s="38"/>
      <c r="C73" s="41">
        <v>2160000</v>
      </c>
      <c r="D73" s="40">
        <v>0</v>
      </c>
      <c r="E73" s="41">
        <v>1661000</v>
      </c>
      <c r="F73" s="41">
        <v>499000</v>
      </c>
      <c r="G73" s="41"/>
      <c r="H73" s="41"/>
      <c r="I73" s="43">
        <f t="shared" si="8"/>
        <v>2160000</v>
      </c>
      <c r="J73" s="44">
        <f t="shared" si="6"/>
        <v>1</v>
      </c>
      <c r="K73" s="59" t="s">
        <v>102</v>
      </c>
      <c r="L73" s="60"/>
    </row>
    <row r="74" spans="1:12" ht="44.65" customHeight="1" x14ac:dyDescent="0.25">
      <c r="A74" s="51" t="s">
        <v>103</v>
      </c>
      <c r="B74" s="61"/>
      <c r="C74" s="41">
        <v>200000</v>
      </c>
      <c r="D74" s="40">
        <v>0</v>
      </c>
      <c r="E74" s="41">
        <v>0</v>
      </c>
      <c r="F74" s="41">
        <v>90400</v>
      </c>
      <c r="G74" s="41"/>
      <c r="H74" s="41"/>
      <c r="I74" s="43">
        <f t="shared" si="7"/>
        <v>90400</v>
      </c>
      <c r="J74" s="44">
        <f t="shared" si="6"/>
        <v>0.45200000000000001</v>
      </c>
      <c r="K74" s="45" t="s">
        <v>43</v>
      </c>
      <c r="L74" s="46"/>
    </row>
    <row r="75" spans="1:12" ht="47.65" customHeight="1" x14ac:dyDescent="0.25">
      <c r="A75" s="51" t="s">
        <v>104</v>
      </c>
      <c r="B75" s="51"/>
      <c r="C75" s="57">
        <f>(352000-320000)+(5768000-5480000)</f>
        <v>320000</v>
      </c>
      <c r="D75" s="40">
        <v>0</v>
      </c>
      <c r="E75" s="41">
        <v>0</v>
      </c>
      <c r="F75" s="47">
        <v>66092</v>
      </c>
      <c r="G75" s="47"/>
      <c r="H75" s="41"/>
      <c r="I75" s="43">
        <f t="shared" si="7"/>
        <v>66092</v>
      </c>
      <c r="J75" s="44">
        <f t="shared" si="6"/>
        <v>0.20653750000000001</v>
      </c>
      <c r="K75" s="45" t="s">
        <v>60</v>
      </c>
      <c r="L75" s="46"/>
    </row>
    <row r="76" spans="1:12" ht="33" customHeight="1" x14ac:dyDescent="0.25">
      <c r="A76" s="51" t="s">
        <v>105</v>
      </c>
      <c r="B76" s="51"/>
      <c r="C76" s="41">
        <v>200000</v>
      </c>
      <c r="D76" s="40">
        <v>0</v>
      </c>
      <c r="E76" s="41">
        <v>46000</v>
      </c>
      <c r="F76" s="41">
        <v>36800</v>
      </c>
      <c r="G76" s="41"/>
      <c r="H76" s="41"/>
      <c r="I76" s="43">
        <f t="shared" si="7"/>
        <v>82800</v>
      </c>
      <c r="J76" s="44">
        <f t="shared" si="6"/>
        <v>0.41399999999999998</v>
      </c>
      <c r="K76" s="59"/>
      <c r="L76" s="60"/>
    </row>
    <row r="77" spans="1:12" ht="42.4" customHeight="1" x14ac:dyDescent="0.25">
      <c r="A77" s="51" t="s">
        <v>106</v>
      </c>
      <c r="B77" s="51"/>
      <c r="C77" s="49">
        <f>30268828-4540325</f>
        <v>25728503</v>
      </c>
      <c r="D77" s="40">
        <v>0</v>
      </c>
      <c r="E77" s="41">
        <v>9464165</v>
      </c>
      <c r="F77" s="47">
        <v>2233751</v>
      </c>
      <c r="G77" s="47"/>
      <c r="H77" s="41"/>
      <c r="I77" s="43">
        <f t="shared" si="7"/>
        <v>11697916</v>
      </c>
      <c r="J77" s="44">
        <f t="shared" si="6"/>
        <v>0.4546675723807172</v>
      </c>
      <c r="K77" s="59" t="s">
        <v>107</v>
      </c>
      <c r="L77" s="60"/>
    </row>
    <row r="78" spans="1:12" ht="41.1" customHeight="1" x14ac:dyDescent="0.25">
      <c r="A78" s="51" t="s">
        <v>108</v>
      </c>
      <c r="B78" s="51"/>
      <c r="C78" s="62">
        <v>0</v>
      </c>
      <c r="D78" s="41">
        <v>7581263</v>
      </c>
      <c r="E78" s="41">
        <v>7581263</v>
      </c>
      <c r="F78" s="63">
        <v>0</v>
      </c>
      <c r="G78" s="64"/>
      <c r="H78" s="41"/>
      <c r="I78" s="43">
        <f t="shared" si="7"/>
        <v>7581263</v>
      </c>
      <c r="J78" s="44">
        <f t="shared" si="6"/>
        <v>1</v>
      </c>
      <c r="K78" s="65" t="s">
        <v>109</v>
      </c>
      <c r="L78" s="66"/>
    </row>
    <row r="79" spans="1:12" ht="18.75" customHeight="1" x14ac:dyDescent="0.25">
      <c r="A79" s="52" t="s">
        <v>75</v>
      </c>
      <c r="B79" s="52"/>
      <c r="C79" s="53">
        <f>SUM(C61:C78)</f>
        <v>81702297</v>
      </c>
      <c r="D79" s="53">
        <f t="shared" ref="D79:I79" si="9">SUM(D61:D78)</f>
        <v>7581263</v>
      </c>
      <c r="E79" s="53">
        <f t="shared" si="9"/>
        <v>34922467</v>
      </c>
      <c r="F79" s="53">
        <f t="shared" si="9"/>
        <v>13011281</v>
      </c>
      <c r="G79" s="53">
        <f t="shared" si="9"/>
        <v>0</v>
      </c>
      <c r="H79" s="53">
        <f t="shared" si="9"/>
        <v>0</v>
      </c>
      <c r="I79" s="53">
        <f t="shared" si="9"/>
        <v>47933748</v>
      </c>
      <c r="J79" s="54">
        <f t="shared" si="6"/>
        <v>0.5368709312218285</v>
      </c>
      <c r="K79" s="55"/>
      <c r="L79" s="56"/>
    </row>
    <row r="80" spans="1:12" ht="21.75" customHeight="1" x14ac:dyDescent="0.25">
      <c r="A80" s="34" t="s">
        <v>110</v>
      </c>
      <c r="B80" s="34"/>
      <c r="C80" s="35"/>
      <c r="D80" s="36"/>
      <c r="E80" s="36"/>
      <c r="F80" s="36"/>
      <c r="G80" s="36"/>
      <c r="H80" s="36"/>
      <c r="I80" s="36"/>
      <c r="J80" s="36"/>
      <c r="K80" s="37"/>
      <c r="L80" s="37"/>
    </row>
    <row r="81" spans="1:12" ht="36" customHeight="1" x14ac:dyDescent="0.25">
      <c r="A81" s="38" t="s">
        <v>111</v>
      </c>
      <c r="B81" s="38"/>
      <c r="C81" s="41">
        <v>1000000</v>
      </c>
      <c r="D81" s="40">
        <v>0</v>
      </c>
      <c r="E81" s="41">
        <v>999046</v>
      </c>
      <c r="F81" s="41">
        <v>0</v>
      </c>
      <c r="G81" s="67"/>
      <c r="H81" s="68"/>
      <c r="I81" s="43">
        <f t="shared" ref="I81:I107" si="10">SUM(E81:H81)</f>
        <v>999046</v>
      </c>
      <c r="J81" s="44">
        <f t="shared" ref="J81:J124" si="11">I81/(C81+D81)</f>
        <v>0.99904599999999999</v>
      </c>
      <c r="K81" s="65" t="s">
        <v>102</v>
      </c>
      <c r="L81" s="66"/>
    </row>
    <row r="82" spans="1:12" ht="33" customHeight="1" x14ac:dyDescent="0.25">
      <c r="A82" s="38" t="s">
        <v>112</v>
      </c>
      <c r="B82" s="38"/>
      <c r="C82" s="58">
        <f>1654162+100000+150000</f>
        <v>1904162</v>
      </c>
      <c r="D82" s="40">
        <v>0</v>
      </c>
      <c r="E82" s="41">
        <v>360480</v>
      </c>
      <c r="F82" s="41">
        <v>391664</v>
      </c>
      <c r="G82" s="68"/>
      <c r="H82" s="68"/>
      <c r="I82" s="43">
        <f t="shared" si="10"/>
        <v>752144</v>
      </c>
      <c r="J82" s="44">
        <f t="shared" si="11"/>
        <v>0.39500000525165402</v>
      </c>
      <c r="K82" s="59" t="s">
        <v>113</v>
      </c>
      <c r="L82" s="60"/>
    </row>
    <row r="83" spans="1:12" ht="44.1" customHeight="1" x14ac:dyDescent="0.25">
      <c r="A83" s="38" t="s">
        <v>114</v>
      </c>
      <c r="B83" s="38"/>
      <c r="C83" s="41">
        <v>720000</v>
      </c>
      <c r="D83" s="40">
        <v>0</v>
      </c>
      <c r="E83" s="41">
        <v>46700</v>
      </c>
      <c r="F83" s="41">
        <v>168500</v>
      </c>
      <c r="G83" s="68"/>
      <c r="H83" s="68"/>
      <c r="I83" s="43">
        <f t="shared" si="10"/>
        <v>215200</v>
      </c>
      <c r="J83" s="44">
        <f t="shared" si="11"/>
        <v>0.29888888888888887</v>
      </c>
      <c r="K83" s="59" t="s">
        <v>115</v>
      </c>
      <c r="L83" s="69"/>
    </row>
    <row r="84" spans="1:12" ht="39" customHeight="1" x14ac:dyDescent="0.25">
      <c r="A84" s="38" t="s">
        <v>116</v>
      </c>
      <c r="B84" s="38"/>
      <c r="C84" s="41">
        <v>8000000</v>
      </c>
      <c r="D84" s="40">
        <v>0</v>
      </c>
      <c r="E84" s="41">
        <v>0</v>
      </c>
      <c r="F84" s="41">
        <v>824021</v>
      </c>
      <c r="G84" s="68"/>
      <c r="H84" s="68"/>
      <c r="I84" s="43">
        <f t="shared" si="10"/>
        <v>824021</v>
      </c>
      <c r="J84" s="44">
        <f t="shared" si="11"/>
        <v>0.103002625</v>
      </c>
      <c r="K84" s="45" t="s">
        <v>117</v>
      </c>
      <c r="L84" s="46"/>
    </row>
    <row r="85" spans="1:12" ht="38.25" customHeight="1" x14ac:dyDescent="0.25">
      <c r="A85" s="38" t="s">
        <v>118</v>
      </c>
      <c r="B85" s="38"/>
      <c r="C85" s="57">
        <f>5000000-2727000</f>
        <v>2273000</v>
      </c>
      <c r="D85" s="40">
        <v>0</v>
      </c>
      <c r="E85" s="41">
        <v>0</v>
      </c>
      <c r="F85" s="41">
        <v>568250</v>
      </c>
      <c r="G85" s="47"/>
      <c r="H85" s="68"/>
      <c r="I85" s="43">
        <f t="shared" si="10"/>
        <v>568250</v>
      </c>
      <c r="J85" s="44">
        <f t="shared" si="11"/>
        <v>0.25</v>
      </c>
      <c r="K85" s="45" t="s">
        <v>117</v>
      </c>
      <c r="L85" s="46"/>
    </row>
    <row r="86" spans="1:12" ht="37.5" customHeight="1" x14ac:dyDescent="0.25">
      <c r="A86" s="38" t="s">
        <v>119</v>
      </c>
      <c r="B86" s="38"/>
      <c r="C86" s="57">
        <f>7292262-4626000</f>
        <v>2666262</v>
      </c>
      <c r="D86" s="40">
        <v>0</v>
      </c>
      <c r="E86" s="41">
        <v>0</v>
      </c>
      <c r="F86" s="47">
        <v>552905</v>
      </c>
      <c r="G86" s="47"/>
      <c r="H86" s="68"/>
      <c r="I86" s="43">
        <f t="shared" si="10"/>
        <v>552905</v>
      </c>
      <c r="J86" s="44">
        <f t="shared" si="11"/>
        <v>0.207370843525505</v>
      </c>
      <c r="K86" s="45" t="s">
        <v>117</v>
      </c>
      <c r="L86" s="46"/>
    </row>
    <row r="87" spans="1:12" ht="41.25" customHeight="1" x14ac:dyDescent="0.25">
      <c r="A87" s="38" t="s">
        <v>120</v>
      </c>
      <c r="B87" s="38"/>
      <c r="C87" s="58">
        <f>28552+135000</f>
        <v>163552</v>
      </c>
      <c r="D87" s="40">
        <v>0</v>
      </c>
      <c r="E87" s="41">
        <v>0</v>
      </c>
      <c r="F87" s="41">
        <v>34272</v>
      </c>
      <c r="G87" s="68"/>
      <c r="H87" s="68"/>
      <c r="I87" s="43">
        <f t="shared" si="10"/>
        <v>34272</v>
      </c>
      <c r="J87" s="44">
        <f t="shared" si="11"/>
        <v>0.2095480336529055</v>
      </c>
      <c r="K87" s="59" t="s">
        <v>121</v>
      </c>
      <c r="L87" s="69"/>
    </row>
    <row r="88" spans="1:12" ht="51" customHeight="1" x14ac:dyDescent="0.25">
      <c r="A88" s="38" t="s">
        <v>122</v>
      </c>
      <c r="B88" s="38"/>
      <c r="C88" s="57">
        <f>12184278-10195000</f>
        <v>1989278</v>
      </c>
      <c r="D88" s="40">
        <v>0</v>
      </c>
      <c r="E88" s="41">
        <v>0</v>
      </c>
      <c r="F88" s="47">
        <v>688183</v>
      </c>
      <c r="G88" s="47"/>
      <c r="H88" s="68"/>
      <c r="I88" s="43">
        <f t="shared" si="10"/>
        <v>688183</v>
      </c>
      <c r="J88" s="44">
        <f t="shared" si="11"/>
        <v>0.34594611713395512</v>
      </c>
      <c r="K88" s="59" t="s">
        <v>123</v>
      </c>
      <c r="L88" s="60"/>
    </row>
    <row r="89" spans="1:12" ht="39" customHeight="1" x14ac:dyDescent="0.25">
      <c r="A89" s="38" t="s">
        <v>124</v>
      </c>
      <c r="B89" s="38"/>
      <c r="C89" s="57">
        <f>4928397-925597</f>
        <v>4002800</v>
      </c>
      <c r="D89" s="40">
        <v>0</v>
      </c>
      <c r="E89" s="49">
        <v>565451</v>
      </c>
      <c r="F89" s="47">
        <v>1063430</v>
      </c>
      <c r="G89" s="47"/>
      <c r="H89" s="68"/>
      <c r="I89" s="43">
        <f t="shared" si="10"/>
        <v>1628881</v>
      </c>
      <c r="J89" s="44">
        <f t="shared" si="11"/>
        <v>0.40693539522334365</v>
      </c>
      <c r="K89" s="59" t="s">
        <v>123</v>
      </c>
      <c r="L89" s="60"/>
    </row>
    <row r="90" spans="1:12" ht="41.25" customHeight="1" x14ac:dyDescent="0.25">
      <c r="A90" s="38" t="s">
        <v>125</v>
      </c>
      <c r="B90" s="38"/>
      <c r="C90" s="41">
        <v>750000</v>
      </c>
      <c r="D90" s="40">
        <v>0</v>
      </c>
      <c r="E90" s="41">
        <v>9956</v>
      </c>
      <c r="F90" s="41">
        <v>32446</v>
      </c>
      <c r="G90" s="68"/>
      <c r="H90" s="68"/>
      <c r="I90" s="43">
        <f t="shared" si="10"/>
        <v>42402</v>
      </c>
      <c r="J90" s="44">
        <f t="shared" si="11"/>
        <v>5.6536000000000003E-2</v>
      </c>
      <c r="K90" s="59" t="s">
        <v>126</v>
      </c>
      <c r="L90" s="60"/>
    </row>
    <row r="91" spans="1:12" ht="39" customHeight="1" x14ac:dyDescent="0.25">
      <c r="A91" s="38" t="s">
        <v>127</v>
      </c>
      <c r="B91" s="38"/>
      <c r="C91" s="49">
        <f>1774000-1494000</f>
        <v>280000</v>
      </c>
      <c r="D91" s="40">
        <v>0</v>
      </c>
      <c r="E91" s="41">
        <v>0</v>
      </c>
      <c r="F91" s="41">
        <v>63428</v>
      </c>
      <c r="G91" s="70"/>
      <c r="H91" s="68"/>
      <c r="I91" s="43">
        <f t="shared" si="10"/>
        <v>63428</v>
      </c>
      <c r="J91" s="44">
        <f t="shared" si="11"/>
        <v>0.22652857142857144</v>
      </c>
      <c r="K91" s="59" t="s">
        <v>128</v>
      </c>
      <c r="L91" s="60"/>
    </row>
    <row r="92" spans="1:12" ht="43.5" customHeight="1" x14ac:dyDescent="0.25">
      <c r="A92" s="38" t="s">
        <v>129</v>
      </c>
      <c r="B92" s="38"/>
      <c r="C92" s="41">
        <v>600000</v>
      </c>
      <c r="D92" s="40">
        <v>0</v>
      </c>
      <c r="E92" s="41">
        <v>0</v>
      </c>
      <c r="F92" s="41">
        <v>195857</v>
      </c>
      <c r="G92" s="68"/>
      <c r="H92" s="68"/>
      <c r="I92" s="43">
        <f t="shared" si="10"/>
        <v>195857</v>
      </c>
      <c r="J92" s="44">
        <f t="shared" si="11"/>
        <v>0.32642833333333332</v>
      </c>
      <c r="K92" s="59" t="s">
        <v>130</v>
      </c>
      <c r="L92" s="60"/>
    </row>
    <row r="93" spans="1:12" ht="42.75" customHeight="1" x14ac:dyDescent="0.25">
      <c r="A93" s="38" t="s">
        <v>131</v>
      </c>
      <c r="B93" s="38"/>
      <c r="C93" s="49">
        <f>13326000-12026000</f>
        <v>1300000</v>
      </c>
      <c r="D93" s="40">
        <v>0</v>
      </c>
      <c r="E93" s="41">
        <v>0</v>
      </c>
      <c r="F93" s="41">
        <v>0</v>
      </c>
      <c r="G93" s="41"/>
      <c r="H93" s="68"/>
      <c r="I93" s="43">
        <f t="shared" si="10"/>
        <v>0</v>
      </c>
      <c r="J93" s="44">
        <f t="shared" si="11"/>
        <v>0</v>
      </c>
      <c r="K93" s="59" t="s">
        <v>132</v>
      </c>
      <c r="L93" s="60"/>
    </row>
    <row r="94" spans="1:12" ht="45" customHeight="1" x14ac:dyDescent="0.25">
      <c r="A94" s="38" t="s">
        <v>133</v>
      </c>
      <c r="B94" s="38"/>
      <c r="C94" s="57">
        <f>4364000-4154000</f>
        <v>210000</v>
      </c>
      <c r="D94" s="40">
        <v>0</v>
      </c>
      <c r="E94" s="41">
        <v>0</v>
      </c>
      <c r="F94" s="47">
        <v>39338</v>
      </c>
      <c r="G94" s="47"/>
      <c r="H94" s="68"/>
      <c r="I94" s="43">
        <f t="shared" si="10"/>
        <v>39338</v>
      </c>
      <c r="J94" s="44">
        <f t="shared" si="11"/>
        <v>0.18732380952380953</v>
      </c>
      <c r="K94" s="45" t="s">
        <v>60</v>
      </c>
      <c r="L94" s="46"/>
    </row>
    <row r="95" spans="1:12" ht="44.25" customHeight="1" x14ac:dyDescent="0.25">
      <c r="A95" s="38" t="s">
        <v>134</v>
      </c>
      <c r="B95" s="38"/>
      <c r="C95" s="49">
        <f>4600000-4320000</f>
        <v>280000</v>
      </c>
      <c r="D95" s="40">
        <v>0</v>
      </c>
      <c r="E95">
        <v>0</v>
      </c>
      <c r="F95" s="41">
        <v>59988</v>
      </c>
      <c r="G95" s="68"/>
      <c r="H95" s="68"/>
      <c r="I95" s="43">
        <f t="shared" si="10"/>
        <v>59988</v>
      </c>
      <c r="J95" s="44">
        <f t="shared" si="11"/>
        <v>0.21424285714285715</v>
      </c>
      <c r="K95" s="45" t="s">
        <v>60</v>
      </c>
      <c r="L95" s="46"/>
    </row>
    <row r="96" spans="1:12" ht="34.5" customHeight="1" x14ac:dyDescent="0.25">
      <c r="A96" s="38" t="s">
        <v>135</v>
      </c>
      <c r="B96" s="38"/>
      <c r="C96" s="41">
        <v>300000</v>
      </c>
      <c r="D96" s="40">
        <v>0</v>
      </c>
      <c r="E96" s="41">
        <v>0</v>
      </c>
      <c r="F96" s="41">
        <v>0</v>
      </c>
      <c r="G96" s="68"/>
      <c r="H96" s="68"/>
      <c r="I96" s="43">
        <f>SUM(E96:H96)</f>
        <v>0</v>
      </c>
      <c r="J96" s="44">
        <f t="shared" si="11"/>
        <v>0</v>
      </c>
      <c r="K96" s="59" t="s">
        <v>132</v>
      </c>
      <c r="L96" s="60"/>
    </row>
    <row r="97" spans="1:12" ht="42.75" customHeight="1" x14ac:dyDescent="0.25">
      <c r="A97" s="38" t="s">
        <v>136</v>
      </c>
      <c r="B97" s="38"/>
      <c r="C97" s="57">
        <f>4174211-3943211</f>
        <v>231000</v>
      </c>
      <c r="D97" s="40">
        <v>0</v>
      </c>
      <c r="E97" s="41">
        <v>0</v>
      </c>
      <c r="F97" s="41">
        <v>35109</v>
      </c>
      <c r="G97" s="47"/>
      <c r="H97" s="68"/>
      <c r="I97" s="43">
        <f t="shared" si="10"/>
        <v>35109</v>
      </c>
      <c r="J97" s="44">
        <f t="shared" si="11"/>
        <v>0.15198701298701298</v>
      </c>
      <c r="K97" s="45" t="s">
        <v>60</v>
      </c>
      <c r="L97" s="46"/>
    </row>
    <row r="98" spans="1:12" ht="42.75" customHeight="1" x14ac:dyDescent="0.25">
      <c r="A98" s="38" t="s">
        <v>137</v>
      </c>
      <c r="B98" s="38"/>
      <c r="C98" s="57">
        <f>19793000-17793000</f>
        <v>2000000</v>
      </c>
      <c r="D98" s="40">
        <v>0</v>
      </c>
      <c r="E98" s="41">
        <v>0</v>
      </c>
      <c r="F98" s="41">
        <v>242958</v>
      </c>
      <c r="G98" s="47"/>
      <c r="H98" s="68"/>
      <c r="I98" s="43">
        <f t="shared" si="10"/>
        <v>242958</v>
      </c>
      <c r="J98" s="44">
        <f t="shared" si="11"/>
        <v>0.121479</v>
      </c>
      <c r="K98" s="45" t="s">
        <v>60</v>
      </c>
      <c r="L98" s="46"/>
    </row>
    <row r="99" spans="1:12" ht="42.75" customHeight="1" x14ac:dyDescent="0.25">
      <c r="A99" s="38" t="s">
        <v>138</v>
      </c>
      <c r="B99" s="38"/>
      <c r="C99" s="49">
        <f>3325000-2825000</f>
        <v>500000</v>
      </c>
      <c r="D99" s="40">
        <v>0</v>
      </c>
      <c r="E99" s="41">
        <v>0</v>
      </c>
      <c r="F99" s="41">
        <v>92653</v>
      </c>
      <c r="G99" s="68"/>
      <c r="H99" s="68"/>
      <c r="I99" s="43">
        <f t="shared" si="10"/>
        <v>92653</v>
      </c>
      <c r="J99" s="44">
        <f t="shared" si="11"/>
        <v>0.185306</v>
      </c>
      <c r="K99" s="45" t="s">
        <v>60</v>
      </c>
      <c r="L99" s="46"/>
    </row>
    <row r="100" spans="1:12" ht="65.25" customHeight="1" x14ac:dyDescent="0.25">
      <c r="A100" s="38" t="s">
        <v>139</v>
      </c>
      <c r="B100" s="38"/>
      <c r="C100" s="57">
        <f>(23009-20708)+(891208-610210)</f>
        <v>283299</v>
      </c>
      <c r="D100" s="40">
        <v>0</v>
      </c>
      <c r="E100" s="49">
        <v>61073</v>
      </c>
      <c r="F100" s="47">
        <v>71885</v>
      </c>
      <c r="G100" s="47"/>
      <c r="H100" s="68"/>
      <c r="I100" s="43">
        <f t="shared" si="10"/>
        <v>132958</v>
      </c>
      <c r="J100" s="44">
        <f t="shared" si="11"/>
        <v>0.46932040000141195</v>
      </c>
      <c r="K100" s="59" t="s">
        <v>93</v>
      </c>
      <c r="L100" s="60"/>
    </row>
    <row r="101" spans="1:12" ht="48" customHeight="1" x14ac:dyDescent="0.25">
      <c r="A101" s="38" t="s">
        <v>140</v>
      </c>
      <c r="B101" s="38"/>
      <c r="C101" s="57">
        <f>(23009-20708)+(899920-677500)</f>
        <v>224721</v>
      </c>
      <c r="D101" s="40">
        <v>0</v>
      </c>
      <c r="E101" s="41">
        <v>3896</v>
      </c>
      <c r="F101" s="47">
        <v>92164</v>
      </c>
      <c r="G101" s="47"/>
      <c r="H101" s="68"/>
      <c r="I101" s="43">
        <f t="shared" si="10"/>
        <v>96060</v>
      </c>
      <c r="J101" s="44">
        <f t="shared" si="11"/>
        <v>0.42746338793437194</v>
      </c>
      <c r="K101" s="59" t="s">
        <v>93</v>
      </c>
      <c r="L101" s="60"/>
    </row>
    <row r="102" spans="1:12" ht="38.25" customHeight="1" x14ac:dyDescent="0.25">
      <c r="A102" s="38" t="s">
        <v>141</v>
      </c>
      <c r="B102" s="38"/>
      <c r="C102" s="57">
        <f>(20764-19726)+(41528-39452)+(103820-98630)+(41528-41528)+(9229988-6738935)+(19980-19980)+(2102242-2013742)+(1284727-1247227)+(25648-19980)+(816580-643240)</f>
        <v>2804365</v>
      </c>
      <c r="D102" s="40">
        <v>0</v>
      </c>
      <c r="E102" s="41">
        <v>5307</v>
      </c>
      <c r="F102" s="47">
        <v>801472</v>
      </c>
      <c r="G102" s="47"/>
      <c r="H102" s="68"/>
      <c r="I102" s="43">
        <f t="shared" ref="I102" si="12">SUM(E102:H102)</f>
        <v>806779</v>
      </c>
      <c r="J102" s="44">
        <f t="shared" si="11"/>
        <v>0.28768687385557873</v>
      </c>
      <c r="K102" s="59" t="s">
        <v>93</v>
      </c>
      <c r="L102" s="60"/>
    </row>
    <row r="103" spans="1:12" ht="41.25" customHeight="1" x14ac:dyDescent="0.25">
      <c r="A103" s="51" t="s">
        <v>142</v>
      </c>
      <c r="B103" s="51"/>
      <c r="C103" s="49">
        <f>700000-100000</f>
        <v>600000</v>
      </c>
      <c r="D103" s="40">
        <v>0</v>
      </c>
      <c r="E103" s="41">
        <v>0</v>
      </c>
      <c r="F103" s="41">
        <v>0</v>
      </c>
      <c r="G103" s="68"/>
      <c r="H103" s="68"/>
      <c r="I103" s="43">
        <f t="shared" si="10"/>
        <v>0</v>
      </c>
      <c r="J103" s="44">
        <f t="shared" si="11"/>
        <v>0</v>
      </c>
      <c r="K103" s="45" t="s">
        <v>117</v>
      </c>
      <c r="L103" s="46"/>
    </row>
    <row r="104" spans="1:12" ht="44.25" customHeight="1" x14ac:dyDescent="0.25">
      <c r="A104" s="51" t="s">
        <v>143</v>
      </c>
      <c r="B104" s="51"/>
      <c r="C104" s="41">
        <v>950000</v>
      </c>
      <c r="D104" s="40">
        <v>0</v>
      </c>
      <c r="E104" s="41">
        <v>0</v>
      </c>
      <c r="F104" s="41">
        <v>0</v>
      </c>
      <c r="G104" s="68"/>
      <c r="H104" s="68"/>
      <c r="I104" s="43">
        <f t="shared" si="10"/>
        <v>0</v>
      </c>
      <c r="J104" s="44">
        <f t="shared" si="11"/>
        <v>0</v>
      </c>
      <c r="K104" s="59" t="s">
        <v>144</v>
      </c>
      <c r="L104" s="60"/>
    </row>
    <row r="105" spans="1:12" ht="39" customHeight="1" x14ac:dyDescent="0.25">
      <c r="A105" s="51" t="s">
        <v>145</v>
      </c>
      <c r="B105" s="51"/>
      <c r="C105" s="41">
        <f>800000</f>
        <v>800000</v>
      </c>
      <c r="D105" s="40">
        <v>0</v>
      </c>
      <c r="E105" s="41">
        <v>28100</v>
      </c>
      <c r="F105" s="41">
        <v>228400</v>
      </c>
      <c r="G105" s="68"/>
      <c r="H105" s="68"/>
      <c r="I105" s="43">
        <f t="shared" si="10"/>
        <v>256500</v>
      </c>
      <c r="J105" s="44">
        <f t="shared" si="11"/>
        <v>0.32062499999999999</v>
      </c>
      <c r="K105" s="59" t="s">
        <v>146</v>
      </c>
      <c r="L105" s="60"/>
    </row>
    <row r="106" spans="1:12" ht="39" customHeight="1" x14ac:dyDescent="0.25">
      <c r="A106" s="51" t="s">
        <v>147</v>
      </c>
      <c r="B106" s="51"/>
      <c r="C106" s="41">
        <v>300000</v>
      </c>
      <c r="D106" s="40">
        <v>0</v>
      </c>
      <c r="E106" s="41">
        <v>0</v>
      </c>
      <c r="F106" s="41">
        <v>0</v>
      </c>
      <c r="G106" s="68"/>
      <c r="H106" s="68"/>
      <c r="I106" s="43">
        <f t="shared" si="10"/>
        <v>0</v>
      </c>
      <c r="J106" s="44">
        <f t="shared" si="11"/>
        <v>0</v>
      </c>
      <c r="K106" s="59" t="s">
        <v>148</v>
      </c>
      <c r="L106" s="60"/>
    </row>
    <row r="107" spans="1:12" ht="39" customHeight="1" x14ac:dyDescent="0.25">
      <c r="A107" s="51" t="s">
        <v>149</v>
      </c>
      <c r="B107" s="51"/>
      <c r="C107" s="58">
        <f>34000+124000</f>
        <v>158000</v>
      </c>
      <c r="D107" s="40">
        <v>0</v>
      </c>
      <c r="E107" s="41">
        <v>0</v>
      </c>
      <c r="F107" s="41">
        <v>0</v>
      </c>
      <c r="G107" s="68"/>
      <c r="H107" s="68"/>
      <c r="I107" s="43">
        <f t="shared" si="10"/>
        <v>0</v>
      </c>
      <c r="J107" s="44">
        <f t="shared" si="11"/>
        <v>0</v>
      </c>
      <c r="K107" s="59" t="s">
        <v>148</v>
      </c>
      <c r="L107" s="60"/>
    </row>
    <row r="108" spans="1:12" ht="18.75" customHeight="1" x14ac:dyDescent="0.25">
      <c r="A108" s="52" t="s">
        <v>75</v>
      </c>
      <c r="B108" s="52"/>
      <c r="C108" s="53">
        <f t="shared" ref="C108:I108" si="13">SUM(C81:C107)</f>
        <v>35290439</v>
      </c>
      <c r="D108" s="53">
        <f t="shared" si="13"/>
        <v>0</v>
      </c>
      <c r="E108" s="53">
        <f t="shared" si="13"/>
        <v>2080009</v>
      </c>
      <c r="F108" s="53">
        <f t="shared" si="13"/>
        <v>6246923</v>
      </c>
      <c r="G108" s="53">
        <f t="shared" si="13"/>
        <v>0</v>
      </c>
      <c r="H108" s="53">
        <f t="shared" si="13"/>
        <v>0</v>
      </c>
      <c r="I108" s="53">
        <f t="shared" si="13"/>
        <v>8326932</v>
      </c>
      <c r="J108" s="54">
        <f t="shared" si="11"/>
        <v>0.2359543331268846</v>
      </c>
      <c r="K108" s="55"/>
      <c r="L108" s="56"/>
    </row>
    <row r="109" spans="1:12" ht="21.75" customHeight="1" x14ac:dyDescent="0.25">
      <c r="A109" s="34" t="s">
        <v>150</v>
      </c>
      <c r="B109" s="34"/>
      <c r="C109" s="35"/>
      <c r="D109" s="36"/>
      <c r="E109" s="36"/>
      <c r="F109" s="36"/>
      <c r="G109" s="36"/>
      <c r="H109" s="36"/>
      <c r="I109" s="36"/>
      <c r="J109" s="36"/>
      <c r="K109" s="37"/>
      <c r="L109" s="37"/>
    </row>
    <row r="110" spans="1:12" ht="32.25" customHeight="1" x14ac:dyDescent="0.25">
      <c r="A110" s="38" t="s">
        <v>151</v>
      </c>
      <c r="B110" s="38"/>
      <c r="C110" s="49">
        <f>1328542-916710</f>
        <v>411832</v>
      </c>
      <c r="D110" s="40">
        <v>0</v>
      </c>
      <c r="E110" s="49">
        <v>60523</v>
      </c>
      <c r="F110" s="49">
        <v>77045</v>
      </c>
      <c r="G110" s="47"/>
      <c r="H110" s="41"/>
      <c r="I110" s="43">
        <f t="shared" ref="I110:I123" si="14">SUM(E110:H110)</f>
        <v>137568</v>
      </c>
      <c r="J110" s="44">
        <f t="shared" si="11"/>
        <v>0.33403912274908215</v>
      </c>
      <c r="K110" s="59" t="s">
        <v>152</v>
      </c>
      <c r="L110" s="60"/>
    </row>
    <row r="111" spans="1:12" ht="32.25" customHeight="1" x14ac:dyDescent="0.25">
      <c r="A111" s="38" t="s">
        <v>153</v>
      </c>
      <c r="B111" s="38"/>
      <c r="C111" s="58">
        <f>855597+300000</f>
        <v>1155597</v>
      </c>
      <c r="D111" s="40">
        <v>0</v>
      </c>
      <c r="E111" s="41">
        <v>279627</v>
      </c>
      <c r="F111" s="41">
        <v>247577</v>
      </c>
      <c r="G111" s="41"/>
      <c r="H111" s="41"/>
      <c r="I111" s="43">
        <f t="shared" si="14"/>
        <v>527204</v>
      </c>
      <c r="J111" s="44">
        <f t="shared" si="11"/>
        <v>0.45621786833991435</v>
      </c>
      <c r="K111" s="59"/>
      <c r="L111" s="60"/>
    </row>
    <row r="112" spans="1:12" ht="32.25" customHeight="1" x14ac:dyDescent="0.25">
      <c r="A112" s="38" t="s">
        <v>154</v>
      </c>
      <c r="B112" s="38"/>
      <c r="C112" s="58">
        <f>825497+600000</f>
        <v>1425497</v>
      </c>
      <c r="D112" s="40">
        <v>0</v>
      </c>
      <c r="E112" s="41">
        <v>260431</v>
      </c>
      <c r="F112" s="41">
        <v>488534</v>
      </c>
      <c r="G112" s="41"/>
      <c r="H112" s="41"/>
      <c r="I112" s="43">
        <f t="shared" si="14"/>
        <v>748965</v>
      </c>
      <c r="J112" s="44">
        <f t="shared" si="11"/>
        <v>0.52540622674056836</v>
      </c>
      <c r="K112" s="59" t="s">
        <v>155</v>
      </c>
      <c r="L112" s="60"/>
    </row>
    <row r="113" spans="1:12" ht="36.75" customHeight="1" x14ac:dyDescent="0.25">
      <c r="A113" s="38" t="s">
        <v>156</v>
      </c>
      <c r="B113" s="38"/>
      <c r="C113" s="49">
        <f>1000521-815328</f>
        <v>185193</v>
      </c>
      <c r="D113" s="40">
        <v>0</v>
      </c>
      <c r="E113" s="49">
        <v>33364</v>
      </c>
      <c r="F113" s="49">
        <v>44368</v>
      </c>
      <c r="G113" s="47"/>
      <c r="H113" s="41"/>
      <c r="I113" s="43">
        <f t="shared" si="14"/>
        <v>77732</v>
      </c>
      <c r="J113" s="44">
        <f t="shared" si="11"/>
        <v>0.41973508717932101</v>
      </c>
      <c r="K113" s="59" t="s">
        <v>152</v>
      </c>
      <c r="L113" s="60"/>
    </row>
    <row r="114" spans="1:12" ht="32.25" customHeight="1" x14ac:dyDescent="0.25">
      <c r="A114" s="38" t="s">
        <v>157</v>
      </c>
      <c r="B114" s="38"/>
      <c r="C114" s="41">
        <v>600000</v>
      </c>
      <c r="D114" s="40">
        <v>0</v>
      </c>
      <c r="E114" s="41">
        <v>22252</v>
      </c>
      <c r="F114" s="41">
        <v>104982</v>
      </c>
      <c r="G114" s="41"/>
      <c r="H114" s="41"/>
      <c r="I114" s="43">
        <f t="shared" si="14"/>
        <v>127234</v>
      </c>
      <c r="J114" s="44">
        <f t="shared" si="11"/>
        <v>0.21205666666666667</v>
      </c>
      <c r="K114" s="59" t="s">
        <v>158</v>
      </c>
      <c r="L114" s="60"/>
    </row>
    <row r="115" spans="1:12" ht="35.25" customHeight="1" x14ac:dyDescent="0.25">
      <c r="A115" s="38" t="s">
        <v>159</v>
      </c>
      <c r="B115" s="38"/>
      <c r="C115" s="41">
        <v>850171</v>
      </c>
      <c r="D115" s="40">
        <v>0</v>
      </c>
      <c r="E115" s="41">
        <v>0</v>
      </c>
      <c r="F115" s="41">
        <v>0</v>
      </c>
      <c r="G115" s="41"/>
      <c r="H115" s="41"/>
      <c r="I115" s="43">
        <f t="shared" si="14"/>
        <v>0</v>
      </c>
      <c r="J115" s="44">
        <f t="shared" si="11"/>
        <v>0</v>
      </c>
      <c r="K115" s="59" t="s">
        <v>160</v>
      </c>
      <c r="L115" s="60"/>
    </row>
    <row r="116" spans="1:12" ht="32.25" customHeight="1" x14ac:dyDescent="0.25">
      <c r="A116" s="38" t="s">
        <v>161</v>
      </c>
      <c r="B116" s="38"/>
      <c r="C116" s="57">
        <f>(929196-836276)+(929196-929196)</f>
        <v>92920</v>
      </c>
      <c r="D116" s="40">
        <v>0</v>
      </c>
      <c r="E116" s="41">
        <v>0</v>
      </c>
      <c r="F116" s="41">
        <v>34132</v>
      </c>
      <c r="G116" s="41"/>
      <c r="H116" s="41"/>
      <c r="I116" s="43">
        <f t="shared" si="14"/>
        <v>34132</v>
      </c>
      <c r="J116" s="44">
        <f t="shared" si="11"/>
        <v>0.36732673267326732</v>
      </c>
      <c r="K116" s="59" t="s">
        <v>162</v>
      </c>
      <c r="L116" s="60"/>
    </row>
    <row r="117" spans="1:12" ht="32.25" customHeight="1" x14ac:dyDescent="0.25">
      <c r="A117" s="38" t="s">
        <v>163</v>
      </c>
      <c r="B117" s="38"/>
      <c r="C117" s="41">
        <v>250000</v>
      </c>
      <c r="D117" s="40">
        <v>0</v>
      </c>
      <c r="E117" s="41">
        <v>0</v>
      </c>
      <c r="F117" s="41">
        <v>0</v>
      </c>
      <c r="G117" s="41"/>
      <c r="H117" s="41"/>
      <c r="I117" s="43">
        <f t="shared" si="14"/>
        <v>0</v>
      </c>
      <c r="J117" s="44">
        <f t="shared" si="11"/>
        <v>0</v>
      </c>
      <c r="K117" s="59" t="s">
        <v>164</v>
      </c>
      <c r="L117" s="60"/>
    </row>
    <row r="118" spans="1:12" ht="42" customHeight="1" x14ac:dyDescent="0.25">
      <c r="A118" s="38" t="s">
        <v>165</v>
      </c>
      <c r="B118" s="38"/>
      <c r="C118" s="41">
        <v>400000</v>
      </c>
      <c r="D118" s="40">
        <v>0</v>
      </c>
      <c r="E118" s="41">
        <v>0</v>
      </c>
      <c r="F118" s="41">
        <v>253000</v>
      </c>
      <c r="G118" s="41"/>
      <c r="H118" s="41"/>
      <c r="I118" s="43">
        <f t="shared" si="14"/>
        <v>253000</v>
      </c>
      <c r="J118" s="44">
        <f t="shared" si="11"/>
        <v>0.63249999999999995</v>
      </c>
      <c r="K118" s="59"/>
      <c r="L118" s="60"/>
    </row>
    <row r="119" spans="1:12" ht="51.75" customHeight="1" x14ac:dyDescent="0.25">
      <c r="A119" s="38" t="s">
        <v>166</v>
      </c>
      <c r="B119" s="38"/>
      <c r="C119" s="57">
        <f>(139871-125884)+(5374481-4173400)</f>
        <v>1215068</v>
      </c>
      <c r="D119" s="40">
        <v>0</v>
      </c>
      <c r="E119" s="49">
        <v>260674</v>
      </c>
      <c r="F119" s="49">
        <v>285640</v>
      </c>
      <c r="G119" s="47"/>
      <c r="H119" s="41"/>
      <c r="I119" s="43">
        <f t="shared" si="14"/>
        <v>546314</v>
      </c>
      <c r="J119" s="44">
        <f t="shared" si="11"/>
        <v>0.44961598857018703</v>
      </c>
      <c r="K119" s="59" t="s">
        <v>167</v>
      </c>
      <c r="L119" s="60"/>
    </row>
    <row r="120" spans="1:12" ht="47.25" customHeight="1" x14ac:dyDescent="0.25">
      <c r="A120" s="38" t="s">
        <v>168</v>
      </c>
      <c r="B120" s="38"/>
      <c r="C120" s="57">
        <f>(25254-22729)+(955840-728868)</f>
        <v>229497</v>
      </c>
      <c r="D120" s="40">
        <v>0</v>
      </c>
      <c r="E120" s="49">
        <v>49034</v>
      </c>
      <c r="F120" s="49">
        <v>56087</v>
      </c>
      <c r="G120" s="47"/>
      <c r="H120" s="41"/>
      <c r="I120" s="43">
        <f t="shared" si="14"/>
        <v>105121</v>
      </c>
      <c r="J120" s="44">
        <f t="shared" si="11"/>
        <v>0.45804956056070451</v>
      </c>
      <c r="K120" s="59" t="s">
        <v>167</v>
      </c>
      <c r="L120" s="60"/>
    </row>
    <row r="121" spans="1:12" ht="50.25" customHeight="1" x14ac:dyDescent="0.25">
      <c r="A121" s="38" t="s">
        <v>169</v>
      </c>
      <c r="B121" s="38"/>
      <c r="C121" s="57">
        <f>(29744-26770)+(1088871-847954)</f>
        <v>243891</v>
      </c>
      <c r="D121" s="40">
        <v>0</v>
      </c>
      <c r="E121" s="49">
        <v>53691</v>
      </c>
      <c r="F121" s="49">
        <v>55424</v>
      </c>
      <c r="G121" s="47"/>
      <c r="H121" s="41"/>
      <c r="I121" s="43">
        <f t="shared" si="14"/>
        <v>109115</v>
      </c>
      <c r="J121" s="44">
        <f t="shared" si="11"/>
        <v>0.44739248270743898</v>
      </c>
      <c r="K121" s="59" t="s">
        <v>167</v>
      </c>
      <c r="L121" s="60"/>
    </row>
    <row r="122" spans="1:12" ht="39.4" customHeight="1" x14ac:dyDescent="0.25">
      <c r="A122" s="38" t="s">
        <v>170</v>
      </c>
      <c r="B122" s="38"/>
      <c r="C122" s="49">
        <f>1793167-1400831</f>
        <v>392336</v>
      </c>
      <c r="D122" s="40">
        <v>0</v>
      </c>
      <c r="E122" s="49">
        <v>0</v>
      </c>
      <c r="F122" s="49">
        <v>103483</v>
      </c>
      <c r="G122" s="47"/>
      <c r="H122" s="41"/>
      <c r="I122" s="43">
        <f t="shared" ref="I122" si="15">SUM(E122:H122)</f>
        <v>103483</v>
      </c>
      <c r="J122" s="44">
        <f t="shared" si="11"/>
        <v>0.26376116390033033</v>
      </c>
      <c r="K122" s="59" t="s">
        <v>171</v>
      </c>
      <c r="L122" s="60"/>
    </row>
    <row r="123" spans="1:12" ht="46.5" customHeight="1" x14ac:dyDescent="0.25">
      <c r="A123" s="38" t="s">
        <v>172</v>
      </c>
      <c r="B123" s="38"/>
      <c r="C123" s="49">
        <f>212000-190000</f>
        <v>22000</v>
      </c>
      <c r="D123" s="40">
        <v>0</v>
      </c>
      <c r="E123" s="49">
        <v>2812</v>
      </c>
      <c r="F123" s="49">
        <v>4034</v>
      </c>
      <c r="G123" s="47"/>
      <c r="H123" s="41"/>
      <c r="I123" s="43">
        <f t="shared" si="14"/>
        <v>6846</v>
      </c>
      <c r="J123" s="44">
        <f t="shared" si="11"/>
        <v>0.31118181818181817</v>
      </c>
      <c r="K123" s="59" t="s">
        <v>173</v>
      </c>
      <c r="L123" s="60"/>
    </row>
    <row r="124" spans="1:12" ht="18.75" customHeight="1" x14ac:dyDescent="0.25">
      <c r="A124" s="52" t="s">
        <v>75</v>
      </c>
      <c r="B124" s="52"/>
      <c r="C124" s="53">
        <f t="shared" ref="C124:I124" si="16">SUM(C110:C123)</f>
        <v>7474002</v>
      </c>
      <c r="D124" s="53">
        <f t="shared" si="16"/>
        <v>0</v>
      </c>
      <c r="E124" s="53">
        <f t="shared" si="16"/>
        <v>1022408</v>
      </c>
      <c r="F124" s="53">
        <f t="shared" si="16"/>
        <v>1754306</v>
      </c>
      <c r="G124" s="53">
        <f t="shared" si="16"/>
        <v>0</v>
      </c>
      <c r="H124" s="53">
        <f t="shared" si="16"/>
        <v>0</v>
      </c>
      <c r="I124" s="53">
        <f t="shared" si="16"/>
        <v>2776714</v>
      </c>
      <c r="J124" s="54">
        <f t="shared" si="11"/>
        <v>0.37151635763544083</v>
      </c>
      <c r="K124" s="55"/>
      <c r="L124" s="56"/>
    </row>
    <row r="125" spans="1:12" ht="21.75" customHeight="1" x14ac:dyDescent="0.25">
      <c r="A125" s="34" t="s">
        <v>174</v>
      </c>
      <c r="B125" s="34"/>
      <c r="C125" s="35"/>
      <c r="D125" s="36"/>
      <c r="E125" s="36"/>
      <c r="F125" s="36"/>
      <c r="G125" s="36"/>
      <c r="H125" s="36"/>
      <c r="I125" s="36"/>
      <c r="J125" s="36"/>
      <c r="K125" s="37"/>
      <c r="L125" s="37"/>
    </row>
    <row r="126" spans="1:12" ht="39.75" customHeight="1" x14ac:dyDescent="0.25">
      <c r="A126" s="38" t="s">
        <v>175</v>
      </c>
      <c r="B126" s="38"/>
      <c r="C126" s="41">
        <v>380000</v>
      </c>
      <c r="D126" s="40">
        <v>0</v>
      </c>
      <c r="E126" s="41">
        <v>0</v>
      </c>
      <c r="F126" s="41">
        <v>0</v>
      </c>
      <c r="G126" s="41"/>
      <c r="H126" s="41"/>
      <c r="I126" s="43">
        <f t="shared" ref="I126:I146" si="17">SUM(E126:H126)</f>
        <v>0</v>
      </c>
      <c r="J126" s="44">
        <f t="shared" ref="J126:J148" si="18">I126/(C126+D126)</f>
        <v>0</v>
      </c>
      <c r="K126" s="59" t="s">
        <v>176</v>
      </c>
      <c r="L126" s="60"/>
    </row>
    <row r="127" spans="1:12" ht="42.75" customHeight="1" x14ac:dyDescent="0.25">
      <c r="A127" s="38" t="s">
        <v>177</v>
      </c>
      <c r="B127" s="38"/>
      <c r="C127" s="58">
        <f>2000000+50000</f>
        <v>2050000</v>
      </c>
      <c r="D127" s="40">
        <v>0</v>
      </c>
      <c r="E127" s="41">
        <v>0</v>
      </c>
      <c r="F127" s="41">
        <v>0</v>
      </c>
      <c r="G127" s="41"/>
      <c r="H127" s="41"/>
      <c r="I127" s="43">
        <f t="shared" si="17"/>
        <v>0</v>
      </c>
      <c r="J127" s="44">
        <f t="shared" si="18"/>
        <v>0</v>
      </c>
      <c r="K127" s="59" t="s">
        <v>178</v>
      </c>
      <c r="L127" s="60"/>
    </row>
    <row r="128" spans="1:12" ht="36" customHeight="1" x14ac:dyDescent="0.25">
      <c r="A128" s="38" t="s">
        <v>179</v>
      </c>
      <c r="B128" s="38"/>
      <c r="C128" s="41">
        <v>1740000</v>
      </c>
      <c r="D128" s="40">
        <v>0</v>
      </c>
      <c r="E128" s="41">
        <v>465224</v>
      </c>
      <c r="F128" s="41">
        <v>454416</v>
      </c>
      <c r="G128" s="41"/>
      <c r="H128" s="41"/>
      <c r="I128" s="43">
        <f t="shared" si="17"/>
        <v>919640</v>
      </c>
      <c r="J128" s="44">
        <f t="shared" si="18"/>
        <v>0.52852873563218394</v>
      </c>
      <c r="K128" s="59"/>
      <c r="L128" s="60"/>
    </row>
    <row r="129" spans="1:12" ht="36" customHeight="1" x14ac:dyDescent="0.25">
      <c r="A129" s="38" t="s">
        <v>180</v>
      </c>
      <c r="B129" s="38"/>
      <c r="C129" s="58">
        <f>789877+200000</f>
        <v>989877</v>
      </c>
      <c r="D129" s="40">
        <v>0</v>
      </c>
      <c r="E129" s="41">
        <v>287376</v>
      </c>
      <c r="F129" s="41">
        <v>205587</v>
      </c>
      <c r="G129" s="41"/>
      <c r="H129" s="41"/>
      <c r="I129" s="43">
        <f t="shared" si="17"/>
        <v>492963</v>
      </c>
      <c r="J129" s="44">
        <f t="shared" si="18"/>
        <v>0.49800429750362923</v>
      </c>
      <c r="K129" s="71"/>
      <c r="L129" s="72"/>
    </row>
    <row r="130" spans="1:12" ht="33.75" customHeight="1" x14ac:dyDescent="0.25">
      <c r="A130" s="38" t="s">
        <v>181</v>
      </c>
      <c r="B130" s="38"/>
      <c r="C130" s="58">
        <f>848564+400000</f>
        <v>1248564</v>
      </c>
      <c r="D130" s="40">
        <v>0</v>
      </c>
      <c r="E130" s="41">
        <v>207848</v>
      </c>
      <c r="F130" s="41">
        <v>226131</v>
      </c>
      <c r="G130" s="41"/>
      <c r="H130" s="41"/>
      <c r="I130" s="43">
        <f t="shared" si="17"/>
        <v>433979</v>
      </c>
      <c r="J130" s="44">
        <f t="shared" si="18"/>
        <v>0.34758250277919273</v>
      </c>
      <c r="K130" s="59" t="s">
        <v>182</v>
      </c>
      <c r="L130" s="60"/>
    </row>
    <row r="131" spans="1:12" ht="36.75" customHeight="1" x14ac:dyDescent="0.25">
      <c r="A131" s="38" t="s">
        <v>183</v>
      </c>
      <c r="B131" s="38"/>
      <c r="C131" s="41">
        <v>768186</v>
      </c>
      <c r="D131" s="40">
        <v>0</v>
      </c>
      <c r="E131" s="41">
        <v>142358</v>
      </c>
      <c r="F131" s="41">
        <v>177262</v>
      </c>
      <c r="G131" s="41"/>
      <c r="H131" s="41"/>
      <c r="I131" s="43">
        <f t="shared" ref="I131" si="19">SUM(E131:H131)</f>
        <v>319620</v>
      </c>
      <c r="J131" s="44">
        <f t="shared" si="18"/>
        <v>0.41607110777858486</v>
      </c>
      <c r="K131" s="59" t="s">
        <v>182</v>
      </c>
      <c r="L131" s="60"/>
    </row>
    <row r="132" spans="1:12" ht="48" customHeight="1" x14ac:dyDescent="0.25">
      <c r="A132" s="38" t="s">
        <v>184</v>
      </c>
      <c r="B132" s="38"/>
      <c r="C132" s="39">
        <v>150000</v>
      </c>
      <c r="D132" s="40">
        <v>0</v>
      </c>
      <c r="E132" s="41">
        <v>18261</v>
      </c>
      <c r="F132" s="41">
        <v>73785</v>
      </c>
      <c r="G132" s="41"/>
      <c r="H132" s="42"/>
      <c r="I132" s="43">
        <f>SUM(E132:H132)</f>
        <v>92046</v>
      </c>
      <c r="J132" s="44">
        <f>I132/(C132+D132)</f>
        <v>0.61363999999999996</v>
      </c>
      <c r="K132" s="59"/>
      <c r="L132" s="60"/>
    </row>
    <row r="133" spans="1:12" ht="39" customHeight="1" x14ac:dyDescent="0.25">
      <c r="A133" s="38" t="s">
        <v>185</v>
      </c>
      <c r="B133" s="38"/>
      <c r="C133" s="39">
        <v>200000</v>
      </c>
      <c r="D133" s="40">
        <v>0</v>
      </c>
      <c r="E133" s="41">
        <v>0</v>
      </c>
      <c r="F133" s="41">
        <v>0</v>
      </c>
      <c r="G133" s="41"/>
      <c r="H133" s="42"/>
      <c r="I133" s="43">
        <f>SUM(E133:H133)</f>
        <v>0</v>
      </c>
      <c r="J133" s="44">
        <f>I133/(C133+D133)</f>
        <v>0</v>
      </c>
      <c r="K133" s="45" t="s">
        <v>186</v>
      </c>
      <c r="L133" s="46"/>
    </row>
    <row r="134" spans="1:12" ht="37.5" customHeight="1" x14ac:dyDescent="0.25">
      <c r="A134" s="38" t="s">
        <v>187</v>
      </c>
      <c r="B134" s="38"/>
      <c r="C134" s="49">
        <f>924013-751000</f>
        <v>173013</v>
      </c>
      <c r="D134" s="40">
        <v>0</v>
      </c>
      <c r="E134" s="49">
        <v>45375</v>
      </c>
      <c r="F134" s="49">
        <v>35570</v>
      </c>
      <c r="G134" s="47"/>
      <c r="H134" s="41"/>
      <c r="I134" s="43">
        <f t="shared" si="17"/>
        <v>80945</v>
      </c>
      <c r="J134" s="44">
        <f t="shared" si="18"/>
        <v>0.46785501667504753</v>
      </c>
      <c r="K134" s="59"/>
      <c r="L134" s="60"/>
    </row>
    <row r="135" spans="1:12" ht="42.95" customHeight="1" x14ac:dyDescent="0.25">
      <c r="A135" s="38" t="s">
        <v>188</v>
      </c>
      <c r="B135" s="38"/>
      <c r="C135" s="41">
        <v>950000</v>
      </c>
      <c r="D135" s="40">
        <v>0</v>
      </c>
      <c r="E135" s="41">
        <v>0</v>
      </c>
      <c r="F135" s="41">
        <v>0</v>
      </c>
      <c r="G135" s="41"/>
      <c r="H135" s="41"/>
      <c r="I135" s="43">
        <f t="shared" si="17"/>
        <v>0</v>
      </c>
      <c r="J135" s="44">
        <f t="shared" si="18"/>
        <v>0</v>
      </c>
      <c r="K135" s="59" t="s">
        <v>189</v>
      </c>
      <c r="L135" s="60"/>
    </row>
    <row r="136" spans="1:12" ht="38.25" customHeight="1" x14ac:dyDescent="0.25">
      <c r="A136" s="38" t="s">
        <v>190</v>
      </c>
      <c r="B136" s="38"/>
      <c r="C136" s="41">
        <v>2100000</v>
      </c>
      <c r="D136" s="40">
        <v>0</v>
      </c>
      <c r="E136" s="41">
        <v>0</v>
      </c>
      <c r="F136" s="41">
        <v>0</v>
      </c>
      <c r="G136" s="41"/>
      <c r="H136" s="41"/>
      <c r="I136" s="43">
        <f t="shared" si="17"/>
        <v>0</v>
      </c>
      <c r="J136" s="44">
        <f t="shared" si="18"/>
        <v>0</v>
      </c>
      <c r="K136" s="59" t="s">
        <v>191</v>
      </c>
      <c r="L136" s="60"/>
    </row>
    <row r="137" spans="1:12" ht="38.25" customHeight="1" x14ac:dyDescent="0.25">
      <c r="A137" s="38" t="s">
        <v>192</v>
      </c>
      <c r="B137" s="73"/>
      <c r="C137" s="58">
        <f>6510000+1500000</f>
        <v>8010000</v>
      </c>
      <c r="D137" s="40">
        <v>0</v>
      </c>
      <c r="E137" s="41">
        <v>0</v>
      </c>
      <c r="F137" s="41">
        <v>0</v>
      </c>
      <c r="G137" s="41"/>
      <c r="H137" s="41"/>
      <c r="I137" s="43">
        <f t="shared" si="17"/>
        <v>0</v>
      </c>
      <c r="J137" s="44">
        <f t="shared" si="18"/>
        <v>0</v>
      </c>
      <c r="K137" s="59" t="s">
        <v>193</v>
      </c>
      <c r="L137" s="60"/>
    </row>
    <row r="138" spans="1:12" ht="38.25" customHeight="1" x14ac:dyDescent="0.25">
      <c r="A138" s="38" t="s">
        <v>194</v>
      </c>
      <c r="B138" s="73"/>
      <c r="C138" s="41">
        <v>1000000</v>
      </c>
      <c r="D138" s="40">
        <v>0</v>
      </c>
      <c r="E138" s="41">
        <v>0</v>
      </c>
      <c r="F138" s="41">
        <v>0</v>
      </c>
      <c r="G138" s="41"/>
      <c r="H138" s="41"/>
      <c r="I138" s="43">
        <f t="shared" si="17"/>
        <v>0</v>
      </c>
      <c r="J138" s="44">
        <f t="shared" si="18"/>
        <v>0</v>
      </c>
      <c r="K138" s="59" t="s">
        <v>195</v>
      </c>
      <c r="L138" s="60"/>
    </row>
    <row r="139" spans="1:12" ht="38.25" customHeight="1" x14ac:dyDescent="0.25">
      <c r="A139" s="38" t="s">
        <v>196</v>
      </c>
      <c r="B139" s="38"/>
      <c r="C139" s="41">
        <v>1719496</v>
      </c>
      <c r="D139" s="40">
        <v>0</v>
      </c>
      <c r="E139" s="41">
        <v>567032</v>
      </c>
      <c r="F139" s="41">
        <v>755711</v>
      </c>
      <c r="G139" s="41"/>
      <c r="H139" s="41"/>
      <c r="I139" s="43">
        <f t="shared" si="17"/>
        <v>1322743</v>
      </c>
      <c r="J139" s="44">
        <f t="shared" si="18"/>
        <v>0.76926203957438688</v>
      </c>
      <c r="K139" s="59"/>
      <c r="L139" s="60"/>
    </row>
    <row r="140" spans="1:12" ht="42" customHeight="1" x14ac:dyDescent="0.25">
      <c r="A140" s="38" t="s">
        <v>197</v>
      </c>
      <c r="B140" s="38"/>
      <c r="C140" s="41">
        <v>90000</v>
      </c>
      <c r="D140" s="40">
        <v>0</v>
      </c>
      <c r="E140" s="41">
        <v>44000</v>
      </c>
      <c r="F140" s="41">
        <v>12000</v>
      </c>
      <c r="G140" s="41"/>
      <c r="H140" s="41"/>
      <c r="I140" s="43">
        <f t="shared" si="17"/>
        <v>56000</v>
      </c>
      <c r="J140" s="44">
        <f t="shared" si="18"/>
        <v>0.62222222222222223</v>
      </c>
      <c r="K140" s="59"/>
      <c r="L140" s="60"/>
    </row>
    <row r="141" spans="1:12" ht="36" customHeight="1" x14ac:dyDescent="0.25">
      <c r="A141" s="38" t="s">
        <v>198</v>
      </c>
      <c r="B141" s="38"/>
      <c r="C141" s="58">
        <f>60000+130000</f>
        <v>190000</v>
      </c>
      <c r="D141" s="40">
        <v>0</v>
      </c>
      <c r="E141" s="41">
        <v>0</v>
      </c>
      <c r="F141" s="41">
        <v>0</v>
      </c>
      <c r="G141" s="41"/>
      <c r="H141" s="41"/>
      <c r="I141" s="43">
        <f t="shared" si="17"/>
        <v>0</v>
      </c>
      <c r="J141" s="44">
        <f t="shared" si="18"/>
        <v>0</v>
      </c>
      <c r="K141" s="59" t="s">
        <v>199</v>
      </c>
      <c r="L141" s="60"/>
    </row>
    <row r="142" spans="1:12" ht="45" customHeight="1" x14ac:dyDescent="0.25">
      <c r="A142" s="38" t="s">
        <v>200</v>
      </c>
      <c r="B142" s="38"/>
      <c r="C142" s="41">
        <v>1884960</v>
      </c>
      <c r="D142" s="40">
        <v>0</v>
      </c>
      <c r="E142" s="41">
        <v>0</v>
      </c>
      <c r="F142" s="41">
        <v>0</v>
      </c>
      <c r="G142" s="41"/>
      <c r="H142" s="41"/>
      <c r="I142" s="43">
        <f t="shared" ref="I142" si="20">SUM(E142:H142)</f>
        <v>0</v>
      </c>
      <c r="J142" s="44">
        <f t="shared" si="18"/>
        <v>0</v>
      </c>
      <c r="K142" s="59" t="s">
        <v>201</v>
      </c>
      <c r="L142" s="60"/>
    </row>
    <row r="143" spans="1:12" ht="34.5" customHeight="1" x14ac:dyDescent="0.25">
      <c r="A143" s="38" t="s">
        <v>202</v>
      </c>
      <c r="B143" s="38"/>
      <c r="C143" s="41">
        <v>4080366</v>
      </c>
      <c r="D143" s="40">
        <v>0</v>
      </c>
      <c r="E143" s="41">
        <v>1357143</v>
      </c>
      <c r="F143" s="41">
        <v>973331</v>
      </c>
      <c r="G143" s="41"/>
      <c r="H143" s="41"/>
      <c r="I143" s="43">
        <f>SUM(E143:H143)</f>
        <v>2330474</v>
      </c>
      <c r="J143" s="44">
        <f t="shared" si="18"/>
        <v>0.57114337292291917</v>
      </c>
      <c r="K143" s="59"/>
      <c r="L143" s="60"/>
    </row>
    <row r="144" spans="1:12" ht="33" customHeight="1" x14ac:dyDescent="0.25">
      <c r="A144" s="38" t="s">
        <v>203</v>
      </c>
      <c r="B144" s="38"/>
      <c r="C144" s="41">
        <v>100000</v>
      </c>
      <c r="D144" s="40">
        <v>0</v>
      </c>
      <c r="E144" s="41">
        <v>0</v>
      </c>
      <c r="F144" s="41">
        <v>0</v>
      </c>
      <c r="G144" s="41"/>
      <c r="H144" s="41"/>
      <c r="I144" s="43">
        <f t="shared" si="17"/>
        <v>0</v>
      </c>
      <c r="J144" s="44">
        <f t="shared" si="18"/>
        <v>0</v>
      </c>
      <c r="K144" s="59" t="s">
        <v>204</v>
      </c>
      <c r="L144" s="60"/>
    </row>
    <row r="145" spans="1:12" ht="26.25" customHeight="1" x14ac:dyDescent="0.25">
      <c r="A145" s="51" t="s">
        <v>205</v>
      </c>
      <c r="B145" s="51"/>
      <c r="C145" s="41">
        <v>50000</v>
      </c>
      <c r="D145" s="40">
        <v>0</v>
      </c>
      <c r="E145" s="41">
        <v>0</v>
      </c>
      <c r="F145" s="41">
        <v>0</v>
      </c>
      <c r="G145" s="41"/>
      <c r="H145" s="41"/>
      <c r="I145" s="43">
        <f t="shared" si="17"/>
        <v>0</v>
      </c>
      <c r="J145" s="44">
        <f t="shared" si="18"/>
        <v>0</v>
      </c>
      <c r="K145" s="59" t="s">
        <v>191</v>
      </c>
      <c r="L145" s="60"/>
    </row>
    <row r="146" spans="1:12" ht="32.25" customHeight="1" x14ac:dyDescent="0.25">
      <c r="A146" s="51" t="s">
        <v>206</v>
      </c>
      <c r="B146" s="51"/>
      <c r="C146" s="41">
        <v>100000</v>
      </c>
      <c r="D146" s="40">
        <v>0</v>
      </c>
      <c r="E146" s="41">
        <v>0</v>
      </c>
      <c r="F146" s="41">
        <v>0</v>
      </c>
      <c r="G146" s="41"/>
      <c r="H146" s="41"/>
      <c r="I146" s="43">
        <f t="shared" si="17"/>
        <v>0</v>
      </c>
      <c r="J146" s="44">
        <f t="shared" si="18"/>
        <v>0</v>
      </c>
      <c r="K146" s="59" t="s">
        <v>49</v>
      </c>
      <c r="L146" s="60"/>
    </row>
    <row r="147" spans="1:12" ht="30.75" customHeight="1" x14ac:dyDescent="0.25">
      <c r="A147" s="51" t="s">
        <v>207</v>
      </c>
      <c r="B147" s="51"/>
      <c r="C147" s="49">
        <f>138000-105000</f>
        <v>33000</v>
      </c>
      <c r="D147" s="40">
        <v>0</v>
      </c>
      <c r="E147" s="41">
        <v>0</v>
      </c>
      <c r="F147" s="41">
        <v>33000</v>
      </c>
      <c r="G147" s="41"/>
      <c r="H147" s="41"/>
      <c r="I147" s="43">
        <f t="shared" ref="I147" si="21">SUM(E147:H147)</f>
        <v>33000</v>
      </c>
      <c r="J147" s="44">
        <f t="shared" si="18"/>
        <v>1</v>
      </c>
      <c r="K147" s="59" t="s">
        <v>208</v>
      </c>
      <c r="L147" s="60"/>
    </row>
    <row r="148" spans="1:12" ht="18.75" customHeight="1" x14ac:dyDescent="0.25">
      <c r="A148" s="52" t="s">
        <v>75</v>
      </c>
      <c r="B148" s="52"/>
      <c r="C148" s="53">
        <f>SUM(C126:C147)</f>
        <v>28007462</v>
      </c>
      <c r="D148" s="53">
        <f t="shared" ref="D148:I148" si="22">SUM(D126:D147)</f>
        <v>0</v>
      </c>
      <c r="E148" s="53">
        <f t="shared" si="22"/>
        <v>3134617</v>
      </c>
      <c r="F148" s="53">
        <f t="shared" si="22"/>
        <v>2946793</v>
      </c>
      <c r="G148" s="53">
        <f t="shared" si="22"/>
        <v>0</v>
      </c>
      <c r="H148" s="53">
        <f t="shared" si="22"/>
        <v>0</v>
      </c>
      <c r="I148" s="53">
        <f t="shared" si="22"/>
        <v>6081410</v>
      </c>
      <c r="J148" s="54">
        <f t="shared" si="18"/>
        <v>0.2171353477155481</v>
      </c>
      <c r="K148" s="55"/>
      <c r="L148" s="56"/>
    </row>
    <row r="149" spans="1:12" ht="21.75" customHeight="1" x14ac:dyDescent="0.25">
      <c r="A149" s="34" t="s">
        <v>209</v>
      </c>
      <c r="B149" s="34"/>
      <c r="C149" s="35"/>
      <c r="D149" s="36"/>
      <c r="E149" s="36"/>
      <c r="F149" s="36"/>
      <c r="G149" s="36"/>
      <c r="H149" s="36"/>
      <c r="I149" s="36"/>
      <c r="J149" s="36"/>
      <c r="K149" s="37"/>
      <c r="L149" s="37"/>
    </row>
    <row r="150" spans="1:12" ht="32.1" customHeight="1" x14ac:dyDescent="0.25">
      <c r="A150" s="38" t="s">
        <v>210</v>
      </c>
      <c r="B150" s="38"/>
      <c r="C150" s="41">
        <v>10693000</v>
      </c>
      <c r="D150" s="40">
        <v>0</v>
      </c>
      <c r="E150" s="41">
        <v>0</v>
      </c>
      <c r="F150" s="41">
        <v>4205230</v>
      </c>
      <c r="G150" s="41"/>
      <c r="H150" s="41"/>
      <c r="I150" s="43">
        <f t="shared" ref="I150:I155" si="23">SUM(E150:H150)</f>
        <v>4205230</v>
      </c>
      <c r="J150" s="44">
        <f t="shared" ref="J150:J156" si="24">I150/(C150+D150)</f>
        <v>0.39326942859814834</v>
      </c>
      <c r="K150" s="59" t="s">
        <v>211</v>
      </c>
      <c r="L150" s="60"/>
    </row>
    <row r="151" spans="1:12" ht="32.1" customHeight="1" x14ac:dyDescent="0.25">
      <c r="A151" s="38" t="s">
        <v>212</v>
      </c>
      <c r="B151" s="38"/>
      <c r="C151" s="41">
        <v>4700000</v>
      </c>
      <c r="D151" s="40">
        <v>0</v>
      </c>
      <c r="E151" s="41">
        <v>516000</v>
      </c>
      <c r="F151" s="41">
        <v>1511000</v>
      </c>
      <c r="G151" s="41"/>
      <c r="H151" s="41"/>
      <c r="I151" s="43">
        <f t="shared" si="23"/>
        <v>2027000</v>
      </c>
      <c r="J151" s="44">
        <f t="shared" si="24"/>
        <v>0.43127659574468086</v>
      </c>
      <c r="K151" s="59" t="s">
        <v>213</v>
      </c>
      <c r="L151" s="60"/>
    </row>
    <row r="152" spans="1:12" ht="23.25" customHeight="1" x14ac:dyDescent="0.25">
      <c r="A152" s="38" t="s">
        <v>214</v>
      </c>
      <c r="B152" s="38"/>
      <c r="C152" s="41">
        <v>350000</v>
      </c>
      <c r="D152" s="40">
        <v>0</v>
      </c>
      <c r="E152" s="41">
        <v>0</v>
      </c>
      <c r="F152" s="41">
        <v>0</v>
      </c>
      <c r="G152" s="41"/>
      <c r="H152" s="41"/>
      <c r="I152" s="43">
        <f t="shared" si="23"/>
        <v>0</v>
      </c>
      <c r="J152" s="44">
        <f t="shared" si="24"/>
        <v>0</v>
      </c>
      <c r="K152" s="59" t="s">
        <v>215</v>
      </c>
      <c r="L152" s="60"/>
    </row>
    <row r="153" spans="1:12" ht="23.25" customHeight="1" x14ac:dyDescent="0.25">
      <c r="A153" s="38" t="s">
        <v>216</v>
      </c>
      <c r="B153" s="38"/>
      <c r="C153" s="41">
        <v>50000</v>
      </c>
      <c r="D153" s="40">
        <v>0</v>
      </c>
      <c r="E153" s="41">
        <v>0</v>
      </c>
      <c r="F153" s="41">
        <v>0</v>
      </c>
      <c r="G153" s="41"/>
      <c r="H153" s="41"/>
      <c r="I153" s="43">
        <f t="shared" si="23"/>
        <v>0</v>
      </c>
      <c r="J153" s="44">
        <f t="shared" si="24"/>
        <v>0</v>
      </c>
      <c r="K153" s="59" t="s">
        <v>217</v>
      </c>
      <c r="L153" s="60"/>
    </row>
    <row r="154" spans="1:12" ht="24" customHeight="1" x14ac:dyDescent="0.25">
      <c r="A154" s="38" t="s">
        <v>218</v>
      </c>
      <c r="B154" s="38"/>
      <c r="C154" s="58">
        <f>50000+9000</f>
        <v>59000</v>
      </c>
      <c r="D154" s="40">
        <v>0</v>
      </c>
      <c r="E154" s="41">
        <v>0</v>
      </c>
      <c r="F154" s="41">
        <v>9600</v>
      </c>
      <c r="G154" s="41"/>
      <c r="H154" s="41"/>
      <c r="I154" s="43">
        <f t="shared" si="23"/>
        <v>9600</v>
      </c>
      <c r="J154" s="44">
        <f t="shared" si="24"/>
        <v>0.16271186440677965</v>
      </c>
      <c r="K154" s="59" t="s">
        <v>49</v>
      </c>
      <c r="L154" s="60"/>
    </row>
    <row r="155" spans="1:12" ht="32.1" customHeight="1" x14ac:dyDescent="0.25">
      <c r="A155" s="38" t="s">
        <v>219</v>
      </c>
      <c r="B155" s="38"/>
      <c r="C155" s="41">
        <v>214150</v>
      </c>
      <c r="D155" s="40">
        <v>0</v>
      </c>
      <c r="E155" s="41">
        <v>0</v>
      </c>
      <c r="F155" s="41">
        <v>17132</v>
      </c>
      <c r="G155" s="41"/>
      <c r="H155" s="41"/>
      <c r="I155" s="43">
        <f t="shared" si="23"/>
        <v>17132</v>
      </c>
      <c r="J155" s="44">
        <f t="shared" si="24"/>
        <v>0.08</v>
      </c>
      <c r="K155" s="59" t="s">
        <v>49</v>
      </c>
      <c r="L155" s="60"/>
    </row>
    <row r="156" spans="1:12" ht="18.75" customHeight="1" x14ac:dyDescent="0.25">
      <c r="A156" s="52" t="s">
        <v>75</v>
      </c>
      <c r="B156" s="52"/>
      <c r="C156" s="53">
        <f>SUM(C150:C155)</f>
        <v>16066150</v>
      </c>
      <c r="D156" s="53">
        <f t="shared" ref="D156:I156" si="25">SUM(D150:D155)</f>
        <v>0</v>
      </c>
      <c r="E156" s="53">
        <f t="shared" si="25"/>
        <v>516000</v>
      </c>
      <c r="F156" s="53">
        <f t="shared" si="25"/>
        <v>5742962</v>
      </c>
      <c r="G156" s="53">
        <f t="shared" si="25"/>
        <v>0</v>
      </c>
      <c r="H156" s="53">
        <f t="shared" si="25"/>
        <v>0</v>
      </c>
      <c r="I156" s="53">
        <f t="shared" si="25"/>
        <v>6258962</v>
      </c>
      <c r="J156" s="54">
        <f t="shared" si="24"/>
        <v>0.3895744780174466</v>
      </c>
      <c r="K156" s="55"/>
      <c r="L156" s="56"/>
    </row>
    <row r="157" spans="1:12" ht="21.75" customHeight="1" x14ac:dyDescent="0.25">
      <c r="A157" s="34" t="s">
        <v>220</v>
      </c>
      <c r="B157" s="34"/>
      <c r="C157" s="35"/>
      <c r="D157" s="36"/>
      <c r="E157" s="36"/>
      <c r="F157" s="36"/>
      <c r="G157" s="36"/>
      <c r="H157" s="36"/>
      <c r="I157" s="36"/>
      <c r="J157" s="36"/>
      <c r="K157" s="37"/>
      <c r="L157" s="37"/>
    </row>
    <row r="158" spans="1:12" ht="19.5" customHeight="1" x14ac:dyDescent="0.25">
      <c r="A158" s="74" t="s">
        <v>221</v>
      </c>
      <c r="B158" s="75"/>
      <c r="C158" s="76">
        <f>(150000-150000)+(150000-150000)+(454000-454000)+(20000-20000)</f>
        <v>0</v>
      </c>
      <c r="D158" s="77">
        <f>0</f>
        <v>0</v>
      </c>
      <c r="E158" s="78">
        <f>(23500+48988+34948)-107436</f>
        <v>0</v>
      </c>
      <c r="F158" s="79">
        <f>0</f>
        <v>0</v>
      </c>
      <c r="G158" s="79">
        <f>0</f>
        <v>0</v>
      </c>
      <c r="H158" s="79">
        <f>0</f>
        <v>0</v>
      </c>
      <c r="I158" s="43">
        <f t="shared" ref="I158" si="26">SUM(E158:H158)</f>
        <v>0</v>
      </c>
      <c r="J158" s="44">
        <v>0</v>
      </c>
      <c r="K158" s="80"/>
      <c r="L158" s="80"/>
    </row>
    <row r="159" spans="1:12" ht="18.75" customHeight="1" x14ac:dyDescent="0.25">
      <c r="A159" s="52" t="s">
        <v>75</v>
      </c>
      <c r="B159" s="52"/>
      <c r="C159" s="53">
        <f>C158</f>
        <v>0</v>
      </c>
      <c r="D159" s="53">
        <f t="shared" ref="D159:I159" si="27">D158</f>
        <v>0</v>
      </c>
      <c r="E159" s="53">
        <f t="shared" si="27"/>
        <v>0</v>
      </c>
      <c r="F159" s="53">
        <f t="shared" si="27"/>
        <v>0</v>
      </c>
      <c r="G159" s="53">
        <f t="shared" si="27"/>
        <v>0</v>
      </c>
      <c r="H159" s="53">
        <f t="shared" si="27"/>
        <v>0</v>
      </c>
      <c r="I159" s="53">
        <f t="shared" si="27"/>
        <v>0</v>
      </c>
      <c r="J159" s="54">
        <v>0</v>
      </c>
      <c r="K159" s="55"/>
      <c r="L159" s="56"/>
    </row>
    <row r="160" spans="1:12" ht="21.75" customHeight="1" x14ac:dyDescent="0.25">
      <c r="A160" s="34" t="s">
        <v>222</v>
      </c>
      <c r="B160" s="34"/>
      <c r="C160" s="35"/>
      <c r="D160" s="36"/>
      <c r="E160" s="36"/>
      <c r="F160" s="36"/>
      <c r="G160" s="36"/>
      <c r="H160" s="36"/>
      <c r="I160" s="36"/>
      <c r="J160" s="36"/>
      <c r="K160" s="81"/>
      <c r="L160" s="82"/>
    </row>
    <row r="161" spans="1:12" ht="28.5" customHeight="1" x14ac:dyDescent="0.25">
      <c r="A161" s="38" t="s">
        <v>223</v>
      </c>
      <c r="B161" s="38" t="s">
        <v>224</v>
      </c>
      <c r="C161" s="41">
        <v>1020000</v>
      </c>
      <c r="D161" s="40">
        <v>0</v>
      </c>
      <c r="E161" s="41">
        <v>3824</v>
      </c>
      <c r="F161" s="41">
        <v>244588</v>
      </c>
      <c r="G161" s="41"/>
      <c r="H161" s="41"/>
      <c r="I161" s="43">
        <f t="shared" ref="I161" si="28">SUM(E161:H161)</f>
        <v>248412</v>
      </c>
      <c r="J161" s="44">
        <f t="shared" ref="J161:J164" si="29">I161/(C161+D161)</f>
        <v>0.24354117647058823</v>
      </c>
      <c r="K161" s="59" t="s">
        <v>225</v>
      </c>
      <c r="L161" s="60"/>
    </row>
    <row r="162" spans="1:12" ht="18.75" customHeight="1" x14ac:dyDescent="0.25">
      <c r="A162" s="52" t="s">
        <v>75</v>
      </c>
      <c r="B162" s="52"/>
      <c r="C162" s="53">
        <f>C161</f>
        <v>1020000</v>
      </c>
      <c r="D162" s="53">
        <f t="shared" ref="D162:I162" si="30">D161</f>
        <v>0</v>
      </c>
      <c r="E162" s="53">
        <f t="shared" si="30"/>
        <v>3824</v>
      </c>
      <c r="F162" s="53">
        <f t="shared" si="30"/>
        <v>244588</v>
      </c>
      <c r="G162" s="53">
        <f t="shared" si="30"/>
        <v>0</v>
      </c>
      <c r="H162" s="53">
        <f t="shared" si="30"/>
        <v>0</v>
      </c>
      <c r="I162" s="53">
        <f t="shared" si="30"/>
        <v>248412</v>
      </c>
      <c r="J162" s="54">
        <v>0</v>
      </c>
      <c r="K162" s="55"/>
      <c r="L162" s="56"/>
    </row>
    <row r="163" spans="1:12" ht="21.75" customHeight="1" x14ac:dyDescent="0.25">
      <c r="A163" s="34" t="s">
        <v>226</v>
      </c>
      <c r="B163" s="34"/>
      <c r="C163" s="35"/>
      <c r="D163" s="36"/>
      <c r="E163" s="36"/>
      <c r="F163" s="36"/>
      <c r="G163" s="36"/>
      <c r="H163" s="36"/>
      <c r="I163" s="36"/>
      <c r="J163" s="36"/>
      <c r="K163" s="37"/>
      <c r="L163" s="37"/>
    </row>
    <row r="164" spans="1:12" ht="35.25" customHeight="1" x14ac:dyDescent="0.25">
      <c r="A164" s="38" t="s">
        <v>227</v>
      </c>
      <c r="B164" s="38"/>
      <c r="C164" s="41">
        <v>500000</v>
      </c>
      <c r="D164" s="40">
        <v>0</v>
      </c>
      <c r="E164" s="41">
        <v>0</v>
      </c>
      <c r="F164" s="41">
        <v>0</v>
      </c>
      <c r="G164" s="41"/>
      <c r="H164" s="41"/>
      <c r="I164" s="43">
        <f t="shared" ref="I164" si="31">SUM(E164:H164)</f>
        <v>0</v>
      </c>
      <c r="J164" s="44">
        <f t="shared" si="29"/>
        <v>0</v>
      </c>
      <c r="K164" s="59" t="s">
        <v>217</v>
      </c>
      <c r="L164" s="60"/>
    </row>
    <row r="165" spans="1:12" ht="18.75" customHeight="1" x14ac:dyDescent="0.25">
      <c r="A165" s="52" t="s">
        <v>75</v>
      </c>
      <c r="B165" s="52"/>
      <c r="C165" s="53">
        <f>C164</f>
        <v>500000</v>
      </c>
      <c r="D165" s="53">
        <f t="shared" ref="D165:I165" si="32">D164</f>
        <v>0</v>
      </c>
      <c r="E165" s="53">
        <f t="shared" si="32"/>
        <v>0</v>
      </c>
      <c r="F165" s="53">
        <f t="shared" si="32"/>
        <v>0</v>
      </c>
      <c r="G165" s="53">
        <f t="shared" si="32"/>
        <v>0</v>
      </c>
      <c r="H165" s="53">
        <f t="shared" si="32"/>
        <v>0</v>
      </c>
      <c r="I165" s="53">
        <f t="shared" si="32"/>
        <v>0</v>
      </c>
      <c r="J165" s="54">
        <v>0</v>
      </c>
      <c r="K165" s="55"/>
      <c r="L165" s="56"/>
    </row>
    <row r="166" spans="1:12" ht="21.75" customHeight="1" x14ac:dyDescent="0.25">
      <c r="A166" s="34" t="s">
        <v>228</v>
      </c>
      <c r="B166" s="34"/>
      <c r="C166" s="83">
        <f>850+518+521+16</f>
        <v>1905</v>
      </c>
      <c r="D166" s="36"/>
      <c r="E166" s="36">
        <f>0</f>
        <v>0</v>
      </c>
      <c r="F166" s="36">
        <f>0</f>
        <v>0</v>
      </c>
      <c r="G166" s="36">
        <f>0</f>
        <v>0</v>
      </c>
      <c r="H166" s="36">
        <f>0</f>
        <v>0</v>
      </c>
      <c r="I166" s="36">
        <f>0</f>
        <v>0</v>
      </c>
      <c r="J166" s="36">
        <v>0</v>
      </c>
      <c r="K166" s="37"/>
      <c r="L166" s="37"/>
    </row>
    <row r="167" spans="1:12" ht="22.5" customHeight="1" x14ac:dyDescent="0.25">
      <c r="A167" s="84" t="s">
        <v>229</v>
      </c>
      <c r="B167" s="84"/>
      <c r="C167" s="85">
        <f t="shared" ref="C167:I167" si="33">C165+C162+C156+C148+C124+C108+C79+C59+C51+C166+C159</f>
        <v>219272195</v>
      </c>
      <c r="D167" s="85">
        <f t="shared" si="33"/>
        <v>7581263</v>
      </c>
      <c r="E167" s="85">
        <f t="shared" si="33"/>
        <v>44544198</v>
      </c>
      <c r="F167" s="85">
        <f t="shared" si="33"/>
        <v>39967534</v>
      </c>
      <c r="G167" s="85">
        <f t="shared" si="33"/>
        <v>0</v>
      </c>
      <c r="H167" s="85">
        <f t="shared" si="33"/>
        <v>0</v>
      </c>
      <c r="I167" s="85">
        <f t="shared" si="33"/>
        <v>84511732</v>
      </c>
      <c r="J167" s="86">
        <f t="shared" ref="J167" si="34">I167/(C167+D167)</f>
        <v>0.37253887485373927</v>
      </c>
      <c r="K167" s="87"/>
      <c r="L167" s="87"/>
    </row>
    <row r="168" spans="1:12" ht="19.5" customHeight="1" x14ac:dyDescent="0.25">
      <c r="A168" s="88" t="s">
        <v>230</v>
      </c>
      <c r="B168" s="89"/>
      <c r="C168" s="89"/>
      <c r="D168" s="89"/>
      <c r="E168" s="89"/>
      <c r="F168" s="89"/>
      <c r="G168" s="89"/>
      <c r="H168" s="89"/>
      <c r="I168" s="90" t="s">
        <v>231</v>
      </c>
      <c r="J168" s="91"/>
      <c r="K168" s="91"/>
      <c r="L168" s="91"/>
    </row>
    <row r="169" spans="1:12" ht="19.5" customHeight="1" x14ac:dyDescent="0.25">
      <c r="A169" s="92" t="s">
        <v>232</v>
      </c>
      <c r="B169" s="92"/>
      <c r="C169" s="92"/>
      <c r="D169" s="92"/>
      <c r="E169" s="92"/>
      <c r="F169" s="92"/>
      <c r="G169" s="92"/>
      <c r="H169" s="92"/>
      <c r="I169" s="92"/>
      <c r="J169" s="92"/>
      <c r="K169" s="92"/>
      <c r="L169" s="92"/>
    </row>
    <row r="170" spans="1:12" ht="19.5" customHeight="1" x14ac:dyDescent="0.25">
      <c r="A170" s="93" t="s">
        <v>233</v>
      </c>
      <c r="B170" s="93"/>
      <c r="C170" s="93"/>
      <c r="D170" s="93"/>
      <c r="E170" s="93"/>
      <c r="F170" s="93"/>
      <c r="G170" s="93"/>
      <c r="H170" s="93"/>
      <c r="I170" s="93"/>
      <c r="J170" s="93"/>
      <c r="K170" s="93"/>
      <c r="L170" s="93"/>
    </row>
    <row r="171" spans="1:12" ht="19.5" customHeight="1" x14ac:dyDescent="0.25">
      <c r="A171" s="93" t="s">
        <v>234</v>
      </c>
      <c r="B171" s="93"/>
      <c r="C171" s="93"/>
      <c r="D171" s="93"/>
      <c r="E171" s="93"/>
      <c r="F171" s="93"/>
      <c r="G171" s="93"/>
      <c r="H171" s="93"/>
      <c r="I171" s="93"/>
      <c r="J171" s="93"/>
      <c r="K171" s="93"/>
      <c r="L171" s="93"/>
    </row>
    <row r="172" spans="1:12" ht="22.5" customHeight="1" x14ac:dyDescent="0.25">
      <c r="A172" s="7" t="s">
        <v>235</v>
      </c>
      <c r="B172" s="8"/>
      <c r="C172" s="8"/>
      <c r="D172" s="8"/>
      <c r="E172" s="8"/>
      <c r="F172" s="8"/>
      <c r="G172" s="8"/>
      <c r="H172" s="8"/>
      <c r="I172" s="8"/>
      <c r="J172" s="8"/>
      <c r="K172" s="8"/>
      <c r="L172" s="8"/>
    </row>
    <row r="173" spans="1:12" ht="20.25" customHeight="1" x14ac:dyDescent="0.25">
      <c r="A173" s="5" t="s">
        <v>236</v>
      </c>
      <c r="B173" s="94"/>
      <c r="C173" s="94"/>
      <c r="D173" s="94"/>
      <c r="E173" s="94"/>
      <c r="F173" s="94"/>
      <c r="G173" s="94"/>
      <c r="H173" s="95">
        <f>G13+G16-I167</f>
        <v>483688057</v>
      </c>
      <c r="I173" s="96"/>
      <c r="J173" s="12" t="s">
        <v>10</v>
      </c>
      <c r="K173" s="12"/>
      <c r="L173" s="12"/>
    </row>
    <row r="174" spans="1:12" ht="24" customHeight="1" x14ac:dyDescent="0.25">
      <c r="A174" s="5" t="s">
        <v>237</v>
      </c>
      <c r="B174" s="94"/>
      <c r="C174" s="94"/>
      <c r="D174" s="97">
        <v>0</v>
      </c>
      <c r="E174" s="5" t="s">
        <v>238</v>
      </c>
      <c r="F174" s="94"/>
      <c r="G174" s="94"/>
      <c r="H174" s="98"/>
      <c r="I174" s="98"/>
      <c r="J174" s="98"/>
      <c r="K174" s="98"/>
      <c r="L174" s="99"/>
    </row>
    <row r="175" spans="1:12" ht="23.25" customHeight="1" x14ac:dyDescent="0.25">
      <c r="A175" s="5" t="s">
        <v>239</v>
      </c>
      <c r="B175" s="5"/>
      <c r="C175" s="5"/>
      <c r="D175" s="5"/>
      <c r="E175" s="5"/>
      <c r="F175" s="5"/>
      <c r="G175" s="5"/>
      <c r="H175" s="5"/>
      <c r="I175" s="5"/>
      <c r="J175" s="5"/>
      <c r="K175" s="5"/>
      <c r="L175" s="5"/>
    </row>
    <row r="176" spans="1:12" ht="22.5" customHeight="1" x14ac:dyDescent="0.25">
      <c r="A176" s="7" t="s">
        <v>240</v>
      </c>
      <c r="B176" s="8"/>
      <c r="C176" s="8"/>
      <c r="D176" s="8"/>
      <c r="E176" s="8"/>
      <c r="F176" s="8"/>
      <c r="G176" s="8"/>
      <c r="H176" s="8"/>
      <c r="I176" s="8"/>
      <c r="J176" s="8"/>
      <c r="K176" s="8"/>
      <c r="L176" s="8"/>
    </row>
    <row r="177" spans="1:12" ht="22.5" customHeight="1" x14ac:dyDescent="0.25">
      <c r="A177" s="6" t="s">
        <v>241</v>
      </c>
      <c r="B177" s="100"/>
      <c r="C177" s="100"/>
      <c r="D177" s="100"/>
      <c r="E177" s="100"/>
      <c r="F177" s="100"/>
      <c r="G177" s="100"/>
      <c r="H177" s="100"/>
      <c r="I177" s="100"/>
      <c r="J177" s="100"/>
      <c r="K177" s="8"/>
      <c r="L177" s="8"/>
    </row>
    <row r="178" spans="1:12" ht="22.5" customHeight="1" x14ac:dyDescent="0.25">
      <c r="A178" s="6" t="s">
        <v>242</v>
      </c>
      <c r="B178" s="100"/>
      <c r="C178" s="100"/>
      <c r="D178" s="100"/>
      <c r="E178" s="100"/>
      <c r="F178" s="100"/>
      <c r="G178" s="100"/>
      <c r="H178" s="100"/>
      <c r="I178" s="100"/>
      <c r="J178" s="100"/>
      <c r="K178" s="8"/>
      <c r="L178" s="8"/>
    </row>
    <row r="179" spans="1:12" ht="22.5" customHeight="1" x14ac:dyDescent="0.25">
      <c r="A179" s="6"/>
      <c r="B179" s="6"/>
      <c r="C179" s="6"/>
      <c r="D179" s="6"/>
      <c r="E179" s="6"/>
      <c r="F179" s="6"/>
      <c r="G179" s="6"/>
      <c r="H179" s="6"/>
      <c r="I179" s="6"/>
      <c r="J179" s="6"/>
      <c r="K179" s="6"/>
      <c r="L179" s="6"/>
    </row>
    <row r="180" spans="1:12" ht="26.25" customHeight="1" x14ac:dyDescent="0.25">
      <c r="A180" s="8" t="s">
        <v>243</v>
      </c>
      <c r="B180" s="8"/>
      <c r="C180" s="8"/>
      <c r="D180" s="8"/>
      <c r="E180" s="8"/>
      <c r="F180" s="8"/>
      <c r="G180" s="8"/>
      <c r="H180" s="8"/>
      <c r="I180" s="8" t="s">
        <v>244</v>
      </c>
      <c r="J180" s="8"/>
      <c r="K180" s="8"/>
      <c r="L180" s="8"/>
    </row>
    <row r="181" spans="1:12" ht="26.25" customHeight="1" x14ac:dyDescent="0.25">
      <c r="A181" s="8" t="s">
        <v>245</v>
      </c>
      <c r="B181" s="101" t="s">
        <v>246</v>
      </c>
      <c r="C181" s="8"/>
      <c r="D181" s="8"/>
      <c r="E181" s="8"/>
      <c r="F181" s="8"/>
      <c r="G181" s="8"/>
      <c r="H181" s="8"/>
      <c r="I181" s="8" t="s">
        <v>247</v>
      </c>
      <c r="J181" s="8"/>
      <c r="K181" s="102"/>
      <c r="L181" s="8"/>
    </row>
    <row r="182" spans="1:12" ht="26.25" customHeight="1" x14ac:dyDescent="0.25">
      <c r="A182" s="8" t="s">
        <v>248</v>
      </c>
      <c r="B182" s="8" t="s">
        <v>249</v>
      </c>
      <c r="C182" s="8"/>
      <c r="D182" s="8"/>
      <c r="E182" s="8"/>
      <c r="F182" s="8"/>
      <c r="G182" s="8"/>
      <c r="H182" s="8"/>
      <c r="I182" s="8"/>
      <c r="J182" s="8"/>
      <c r="K182" s="8"/>
      <c r="L182" s="8"/>
    </row>
    <row r="183" spans="1:12" ht="26.25" customHeight="1" x14ac:dyDescent="0.25">
      <c r="A183" s="8"/>
      <c r="B183" s="8"/>
      <c r="C183" s="8"/>
      <c r="D183" s="8"/>
      <c r="E183" s="8"/>
      <c r="F183" s="8"/>
      <c r="G183" s="8"/>
      <c r="H183" s="8"/>
      <c r="I183" s="8"/>
      <c r="J183" s="8"/>
      <c r="K183" s="8"/>
      <c r="L183" s="8"/>
    </row>
    <row r="184" spans="1:12" ht="35.25" customHeight="1" x14ac:dyDescent="0.25">
      <c r="A184" s="8" t="s">
        <v>250</v>
      </c>
      <c r="B184" s="8"/>
      <c r="C184" s="8"/>
      <c r="D184" s="8"/>
      <c r="E184" s="8"/>
      <c r="F184" s="8"/>
      <c r="G184" s="8"/>
      <c r="H184" s="8"/>
      <c r="I184" s="8" t="s">
        <v>251</v>
      </c>
      <c r="J184" s="8"/>
      <c r="K184" s="8"/>
      <c r="L184" s="8"/>
    </row>
    <row r="185" spans="1:12" ht="35.25" customHeight="1" x14ac:dyDescent="0.25">
      <c r="A185" s="8" t="s">
        <v>247</v>
      </c>
      <c r="B185" s="8"/>
      <c r="C185" s="8"/>
      <c r="D185" s="8"/>
      <c r="E185" s="8"/>
      <c r="F185" s="8"/>
      <c r="G185" s="8"/>
      <c r="H185" s="8"/>
      <c r="I185" s="8" t="s">
        <v>252</v>
      </c>
      <c r="J185" s="8"/>
      <c r="K185" s="8"/>
      <c r="L185" s="8"/>
    </row>
    <row r="186" spans="1:12" ht="26.25" customHeight="1" x14ac:dyDescent="0.25">
      <c r="A186" s="103" t="s">
        <v>253</v>
      </c>
      <c r="B186" s="103"/>
      <c r="C186" s="103"/>
      <c r="D186" s="103"/>
      <c r="E186" s="103"/>
      <c r="F186" s="103"/>
      <c r="G186" s="103"/>
      <c r="H186" s="103"/>
      <c r="I186" s="103"/>
      <c r="J186" s="103"/>
      <c r="K186" s="103"/>
      <c r="L186" s="103"/>
    </row>
    <row r="187" spans="1:12" x14ac:dyDescent="0.25">
      <c r="A187" s="104"/>
      <c r="B187" s="104"/>
      <c r="C187" s="104"/>
      <c r="D187" s="104"/>
      <c r="E187" s="104"/>
      <c r="F187" s="104"/>
      <c r="G187" s="104"/>
      <c r="H187" s="104"/>
      <c r="I187" s="104"/>
      <c r="J187" s="104"/>
      <c r="K187" s="104"/>
      <c r="L187" s="104"/>
    </row>
    <row r="188" spans="1:12" x14ac:dyDescent="0.25">
      <c r="A188" s="104"/>
      <c r="B188" s="104"/>
      <c r="C188" s="104"/>
      <c r="D188" s="104"/>
      <c r="E188" s="104"/>
      <c r="F188" s="104"/>
      <c r="G188" s="104"/>
      <c r="H188" s="104"/>
      <c r="I188" s="104"/>
      <c r="J188" s="104"/>
      <c r="K188" s="104"/>
      <c r="L188" s="104"/>
    </row>
    <row r="189" spans="1:12" x14ac:dyDescent="0.25">
      <c r="A189" s="104"/>
      <c r="B189" s="104"/>
      <c r="C189" s="104"/>
      <c r="D189" s="104"/>
      <c r="E189" s="104"/>
      <c r="F189" s="105"/>
      <c r="G189" s="104"/>
      <c r="H189" s="104"/>
      <c r="I189" s="104"/>
      <c r="J189" s="104"/>
      <c r="K189" s="104"/>
      <c r="L189" s="104"/>
    </row>
    <row r="190" spans="1:12" x14ac:dyDescent="0.25">
      <c r="A190" s="104"/>
      <c r="B190" s="104"/>
      <c r="C190" s="104"/>
      <c r="D190" s="104"/>
      <c r="E190" s="104"/>
      <c r="F190" s="104"/>
      <c r="G190" s="104"/>
      <c r="H190" s="104"/>
      <c r="I190" s="104"/>
      <c r="J190" s="104"/>
      <c r="K190" s="104"/>
      <c r="L190" s="104"/>
    </row>
    <row r="191" spans="1:12" x14ac:dyDescent="0.25">
      <c r="A191" s="104"/>
      <c r="B191" s="104"/>
      <c r="C191" s="104"/>
      <c r="D191" s="104"/>
      <c r="E191" s="104"/>
      <c r="F191" s="104"/>
      <c r="G191" s="104"/>
      <c r="H191" s="104"/>
      <c r="I191" s="104"/>
      <c r="J191" s="104"/>
      <c r="K191" s="104"/>
      <c r="L191" s="104"/>
    </row>
    <row r="192" spans="1:12" x14ac:dyDescent="0.25">
      <c r="A192" s="104"/>
      <c r="B192" s="104"/>
      <c r="C192" s="104"/>
      <c r="D192" s="104"/>
      <c r="E192" s="104"/>
      <c r="F192" s="104"/>
      <c r="G192" s="104"/>
      <c r="H192" s="104"/>
      <c r="I192" s="104"/>
      <c r="J192" s="104"/>
      <c r="K192" s="104"/>
      <c r="L192" s="104"/>
    </row>
    <row r="193" spans="1:12" x14ac:dyDescent="0.25">
      <c r="A193" s="104"/>
      <c r="B193" s="104"/>
      <c r="C193" s="104"/>
      <c r="D193" s="104"/>
      <c r="E193" s="104"/>
      <c r="F193" s="104"/>
      <c r="G193" s="104"/>
      <c r="H193" s="104"/>
      <c r="I193" s="104"/>
      <c r="J193" s="104"/>
      <c r="K193" s="104"/>
      <c r="L193" s="104"/>
    </row>
    <row r="194" spans="1:12" x14ac:dyDescent="0.25">
      <c r="A194" s="104"/>
      <c r="B194" s="104"/>
      <c r="C194" s="104"/>
      <c r="D194" s="104"/>
      <c r="E194" s="104"/>
      <c r="F194" s="104"/>
      <c r="G194" s="104"/>
      <c r="H194" s="104"/>
      <c r="I194" s="104"/>
      <c r="J194" s="104"/>
      <c r="K194" s="104"/>
      <c r="L194" s="104"/>
    </row>
    <row r="195" spans="1:12" x14ac:dyDescent="0.25">
      <c r="A195" s="104"/>
      <c r="B195" s="104"/>
      <c r="C195" s="104"/>
      <c r="D195" s="104"/>
      <c r="E195" s="104"/>
      <c r="F195" s="104"/>
      <c r="G195" s="104"/>
      <c r="H195" s="104"/>
      <c r="I195" s="104"/>
      <c r="J195" s="104"/>
      <c r="K195" s="104"/>
      <c r="L195" s="104"/>
    </row>
    <row r="196" spans="1:12" x14ac:dyDescent="0.25">
      <c r="A196" s="104"/>
      <c r="B196" s="104"/>
      <c r="C196" s="104"/>
      <c r="D196" s="104"/>
      <c r="E196" s="104"/>
      <c r="F196" s="104"/>
      <c r="G196" s="104"/>
      <c r="H196" s="104"/>
      <c r="I196" s="104"/>
      <c r="J196" s="104"/>
      <c r="K196" s="104"/>
      <c r="L196" s="104"/>
    </row>
    <row r="197" spans="1:12" x14ac:dyDescent="0.25">
      <c r="A197" s="104"/>
      <c r="B197" s="104"/>
      <c r="C197" s="104"/>
      <c r="D197" s="104"/>
      <c r="E197" s="104"/>
      <c r="F197" s="104"/>
      <c r="G197" s="104"/>
      <c r="H197" s="104"/>
      <c r="I197" s="104"/>
      <c r="J197" s="104"/>
      <c r="K197" s="104"/>
      <c r="L197" s="104"/>
    </row>
    <row r="198" spans="1:12" x14ac:dyDescent="0.25">
      <c r="A198" s="104"/>
      <c r="B198" s="104"/>
      <c r="C198" s="104"/>
      <c r="D198" s="104"/>
      <c r="E198" s="104"/>
      <c r="F198" s="104"/>
      <c r="G198" s="104"/>
      <c r="H198" s="104"/>
      <c r="I198" s="104"/>
      <c r="J198" s="104"/>
      <c r="K198" s="104"/>
      <c r="L198" s="104"/>
    </row>
    <row r="199" spans="1:12" x14ac:dyDescent="0.25">
      <c r="A199" s="104"/>
      <c r="B199" s="104"/>
      <c r="C199" s="104"/>
      <c r="D199" s="104"/>
      <c r="E199" s="104"/>
      <c r="F199" s="104"/>
      <c r="G199" s="104"/>
      <c r="H199" s="104"/>
      <c r="I199" s="104"/>
      <c r="J199" s="104"/>
      <c r="K199" s="104"/>
      <c r="L199" s="104"/>
    </row>
    <row r="200" spans="1:12" x14ac:dyDescent="0.25">
      <c r="A200" s="104"/>
      <c r="B200" s="104"/>
      <c r="C200" s="104"/>
      <c r="D200" s="104"/>
      <c r="E200" s="104"/>
      <c r="F200" s="104"/>
      <c r="G200" s="104"/>
      <c r="H200" s="104"/>
      <c r="I200" s="104"/>
      <c r="J200" s="104"/>
      <c r="K200" s="104"/>
      <c r="L200" s="104"/>
    </row>
    <row r="201" spans="1:12" x14ac:dyDescent="0.25">
      <c r="A201" s="104"/>
      <c r="B201" s="104"/>
      <c r="C201" s="104"/>
      <c r="D201" s="104"/>
      <c r="E201" s="104"/>
      <c r="F201" s="104"/>
      <c r="G201" s="104"/>
      <c r="H201" s="104"/>
      <c r="I201" s="104"/>
      <c r="J201" s="104"/>
      <c r="K201" s="104"/>
      <c r="L201" s="104"/>
    </row>
    <row r="202" spans="1:12" x14ac:dyDescent="0.25">
      <c r="A202" s="104"/>
      <c r="B202" s="104"/>
      <c r="C202" s="104"/>
      <c r="D202" s="104"/>
      <c r="E202" s="104"/>
      <c r="F202" s="104"/>
      <c r="G202" s="104"/>
      <c r="H202" s="104"/>
      <c r="I202" s="104"/>
      <c r="J202" s="104"/>
      <c r="K202" s="104"/>
      <c r="L202" s="104"/>
    </row>
  </sheetData>
  <sheetProtection selectLockedCells="1" selectUnlockedCells="1"/>
  <autoFilter ref="A24:L176" xr:uid="{91D8CF7A-5269-427F-A295-8408BAA4BD2F}">
    <filterColumn colId="0" showButton="0"/>
    <filterColumn colId="10" showButton="0"/>
  </autoFilter>
  <mergeCells count="324">
    <mergeCell ref="A175:L175"/>
    <mergeCell ref="A177:J177"/>
    <mergeCell ref="A178:J178"/>
    <mergeCell ref="A179:L179"/>
    <mergeCell ref="A186:L186"/>
    <mergeCell ref="A170:L170"/>
    <mergeCell ref="A171:L171"/>
    <mergeCell ref="A173:G173"/>
    <mergeCell ref="H173:I173"/>
    <mergeCell ref="A174:C174"/>
    <mergeCell ref="E174:G174"/>
    <mergeCell ref="A166:B166"/>
    <mergeCell ref="K166:L166"/>
    <mergeCell ref="A167:B167"/>
    <mergeCell ref="K167:L167"/>
    <mergeCell ref="A168:H168"/>
    <mergeCell ref="A169:L169"/>
    <mergeCell ref="A163:B163"/>
    <mergeCell ref="K163:L163"/>
    <mergeCell ref="A164:B164"/>
    <mergeCell ref="K164:L164"/>
    <mergeCell ref="A165:B165"/>
    <mergeCell ref="K165:L165"/>
    <mergeCell ref="A160:B160"/>
    <mergeCell ref="K160:L160"/>
    <mergeCell ref="A161:B161"/>
    <mergeCell ref="K161:L161"/>
    <mergeCell ref="A162:B162"/>
    <mergeCell ref="K162:L162"/>
    <mergeCell ref="A157:B157"/>
    <mergeCell ref="K157:L157"/>
    <mergeCell ref="A158:B158"/>
    <mergeCell ref="K158:L158"/>
    <mergeCell ref="A159:B159"/>
    <mergeCell ref="K159:L159"/>
    <mergeCell ref="A154:B154"/>
    <mergeCell ref="K154:L154"/>
    <mergeCell ref="A155:B155"/>
    <mergeCell ref="K155:L155"/>
    <mergeCell ref="A156:B156"/>
    <mergeCell ref="K156:L156"/>
    <mergeCell ref="A151:B151"/>
    <mergeCell ref="K151:L151"/>
    <mergeCell ref="A152:B152"/>
    <mergeCell ref="K152:L152"/>
    <mergeCell ref="A153:B153"/>
    <mergeCell ref="K153:L153"/>
    <mergeCell ref="A148:B148"/>
    <mergeCell ref="K148:L148"/>
    <mergeCell ref="A149:B149"/>
    <mergeCell ref="K149:L149"/>
    <mergeCell ref="A150:B150"/>
    <mergeCell ref="K150:L150"/>
    <mergeCell ref="A145:B145"/>
    <mergeCell ref="K145:L145"/>
    <mergeCell ref="A146:B146"/>
    <mergeCell ref="K146:L146"/>
    <mergeCell ref="A147:B147"/>
    <mergeCell ref="K147:L147"/>
    <mergeCell ref="A142:B142"/>
    <mergeCell ref="K142:L142"/>
    <mergeCell ref="A143:B143"/>
    <mergeCell ref="K143:L143"/>
    <mergeCell ref="A144:B144"/>
    <mergeCell ref="K144:L144"/>
    <mergeCell ref="A139:B139"/>
    <mergeCell ref="K139:L139"/>
    <mergeCell ref="A140:B140"/>
    <mergeCell ref="K140:L140"/>
    <mergeCell ref="A141:B141"/>
    <mergeCell ref="K141:L141"/>
    <mergeCell ref="A136:B136"/>
    <mergeCell ref="K136:L136"/>
    <mergeCell ref="A137:B137"/>
    <mergeCell ref="K137:L137"/>
    <mergeCell ref="A138:B138"/>
    <mergeCell ref="K138:L138"/>
    <mergeCell ref="A133:B133"/>
    <mergeCell ref="K133:L133"/>
    <mergeCell ref="A134:B134"/>
    <mergeCell ref="K134:L134"/>
    <mergeCell ref="A135:B135"/>
    <mergeCell ref="K135:L135"/>
    <mergeCell ref="A130:B130"/>
    <mergeCell ref="K130:L130"/>
    <mergeCell ref="A131:B131"/>
    <mergeCell ref="K131:L131"/>
    <mergeCell ref="A132:B132"/>
    <mergeCell ref="K132:L132"/>
    <mergeCell ref="A127:B127"/>
    <mergeCell ref="K127:L127"/>
    <mergeCell ref="A128:B128"/>
    <mergeCell ref="K128:L128"/>
    <mergeCell ref="A129:B129"/>
    <mergeCell ref="K129:L129"/>
    <mergeCell ref="A124:B124"/>
    <mergeCell ref="K124:L124"/>
    <mergeCell ref="A125:B125"/>
    <mergeCell ref="K125:L125"/>
    <mergeCell ref="A126:B126"/>
    <mergeCell ref="K126:L126"/>
    <mergeCell ref="A121:B121"/>
    <mergeCell ref="K121:L121"/>
    <mergeCell ref="A122:B122"/>
    <mergeCell ref="K122:L122"/>
    <mergeCell ref="A123:B123"/>
    <mergeCell ref="K123:L123"/>
    <mergeCell ref="A118:B118"/>
    <mergeCell ref="K118:L118"/>
    <mergeCell ref="A119:B119"/>
    <mergeCell ref="K119:L119"/>
    <mergeCell ref="A120:B120"/>
    <mergeCell ref="K120:L120"/>
    <mergeCell ref="A115:B115"/>
    <mergeCell ref="K115:L115"/>
    <mergeCell ref="A116:B116"/>
    <mergeCell ref="K116:L116"/>
    <mergeCell ref="A117:B117"/>
    <mergeCell ref="K117:L117"/>
    <mergeCell ref="A112:B112"/>
    <mergeCell ref="K112:L112"/>
    <mergeCell ref="A113:B113"/>
    <mergeCell ref="K113:L113"/>
    <mergeCell ref="A114:B114"/>
    <mergeCell ref="K114:L114"/>
    <mergeCell ref="A109:B109"/>
    <mergeCell ref="K109:L109"/>
    <mergeCell ref="A110:B110"/>
    <mergeCell ref="K110:L110"/>
    <mergeCell ref="A111:B111"/>
    <mergeCell ref="K111:L111"/>
    <mergeCell ref="A106:B106"/>
    <mergeCell ref="K106:L106"/>
    <mergeCell ref="A107:B107"/>
    <mergeCell ref="K107:L107"/>
    <mergeCell ref="A108:B108"/>
    <mergeCell ref="K108:L108"/>
    <mergeCell ref="A103:B103"/>
    <mergeCell ref="K103:L103"/>
    <mergeCell ref="A104:B104"/>
    <mergeCell ref="K104:L104"/>
    <mergeCell ref="A105:B105"/>
    <mergeCell ref="K105:L105"/>
    <mergeCell ref="A100:B100"/>
    <mergeCell ref="K100:L100"/>
    <mergeCell ref="A101:B101"/>
    <mergeCell ref="K101:L101"/>
    <mergeCell ref="A102:B102"/>
    <mergeCell ref="K102:L102"/>
    <mergeCell ref="A97:B97"/>
    <mergeCell ref="K97:L97"/>
    <mergeCell ref="A98:B98"/>
    <mergeCell ref="K98:L98"/>
    <mergeCell ref="A99:B99"/>
    <mergeCell ref="K99:L99"/>
    <mergeCell ref="A94:B94"/>
    <mergeCell ref="K94:L94"/>
    <mergeCell ref="A95:B95"/>
    <mergeCell ref="K95:L95"/>
    <mergeCell ref="A96:B96"/>
    <mergeCell ref="K96:L96"/>
    <mergeCell ref="A91:B91"/>
    <mergeCell ref="K91:L91"/>
    <mergeCell ref="A92:B92"/>
    <mergeCell ref="K92:L92"/>
    <mergeCell ref="A93:B93"/>
    <mergeCell ref="K93:L93"/>
    <mergeCell ref="A88:B88"/>
    <mergeCell ref="K88:L88"/>
    <mergeCell ref="A89:B89"/>
    <mergeCell ref="K89:L89"/>
    <mergeCell ref="A90:B90"/>
    <mergeCell ref="K90:L90"/>
    <mergeCell ref="A85:B85"/>
    <mergeCell ref="K85:L85"/>
    <mergeCell ref="A86:B86"/>
    <mergeCell ref="K86:L86"/>
    <mergeCell ref="A87:B87"/>
    <mergeCell ref="K87:L87"/>
    <mergeCell ref="A82:B82"/>
    <mergeCell ref="K82:L82"/>
    <mergeCell ref="A83:B83"/>
    <mergeCell ref="K83:L83"/>
    <mergeCell ref="A84:B84"/>
    <mergeCell ref="K84:L84"/>
    <mergeCell ref="A79:B79"/>
    <mergeCell ref="K79:L79"/>
    <mergeCell ref="A80:B80"/>
    <mergeCell ref="K80:L80"/>
    <mergeCell ref="A81:B81"/>
    <mergeCell ref="K81:L81"/>
    <mergeCell ref="A76:B76"/>
    <mergeCell ref="K76:L76"/>
    <mergeCell ref="A77:B77"/>
    <mergeCell ref="K77:L77"/>
    <mergeCell ref="A78:B78"/>
    <mergeCell ref="K78:L78"/>
    <mergeCell ref="A73:B73"/>
    <mergeCell ref="K73:L73"/>
    <mergeCell ref="A74:B74"/>
    <mergeCell ref="K74:L74"/>
    <mergeCell ref="A75:B75"/>
    <mergeCell ref="K75:L75"/>
    <mergeCell ref="A70:B70"/>
    <mergeCell ref="K70:L70"/>
    <mergeCell ref="A71:B71"/>
    <mergeCell ref="K71:L71"/>
    <mergeCell ref="A72:B72"/>
    <mergeCell ref="K72:L72"/>
    <mergeCell ref="A67:B67"/>
    <mergeCell ref="K67:L67"/>
    <mergeCell ref="A68:B68"/>
    <mergeCell ref="K68:L68"/>
    <mergeCell ref="A69:B69"/>
    <mergeCell ref="K69:L69"/>
    <mergeCell ref="A64:B64"/>
    <mergeCell ref="K64:L64"/>
    <mergeCell ref="A65:B65"/>
    <mergeCell ref="K65:L65"/>
    <mergeCell ref="A66:B66"/>
    <mergeCell ref="K66:L66"/>
    <mergeCell ref="A61:B61"/>
    <mergeCell ref="K61:L61"/>
    <mergeCell ref="A62:B62"/>
    <mergeCell ref="K62:L62"/>
    <mergeCell ref="A63:B63"/>
    <mergeCell ref="K63:L63"/>
    <mergeCell ref="A58:B58"/>
    <mergeCell ref="K58:L58"/>
    <mergeCell ref="A59:B59"/>
    <mergeCell ref="K59:L59"/>
    <mergeCell ref="A60:B60"/>
    <mergeCell ref="K60:L60"/>
    <mergeCell ref="A55:B55"/>
    <mergeCell ref="K55:L55"/>
    <mergeCell ref="A56:B56"/>
    <mergeCell ref="K56:L56"/>
    <mergeCell ref="A57:B57"/>
    <mergeCell ref="K57:L57"/>
    <mergeCell ref="A52:B52"/>
    <mergeCell ref="K52:L52"/>
    <mergeCell ref="A53:B53"/>
    <mergeCell ref="K53:L53"/>
    <mergeCell ref="A54:B54"/>
    <mergeCell ref="K54:L54"/>
    <mergeCell ref="A49:B49"/>
    <mergeCell ref="K49:L49"/>
    <mergeCell ref="A50:B50"/>
    <mergeCell ref="K50:L50"/>
    <mergeCell ref="A51:B51"/>
    <mergeCell ref="K51:L51"/>
    <mergeCell ref="A46:B46"/>
    <mergeCell ref="K46:L46"/>
    <mergeCell ref="A47:B47"/>
    <mergeCell ref="K47:L47"/>
    <mergeCell ref="A48:B48"/>
    <mergeCell ref="K48:L48"/>
    <mergeCell ref="A43:B43"/>
    <mergeCell ref="K43:L43"/>
    <mergeCell ref="A44:B44"/>
    <mergeCell ref="K44:L44"/>
    <mergeCell ref="A45:B45"/>
    <mergeCell ref="K45:L45"/>
    <mergeCell ref="A40:B40"/>
    <mergeCell ref="K40:L40"/>
    <mergeCell ref="A41:B41"/>
    <mergeCell ref="K41:L41"/>
    <mergeCell ref="A42:B42"/>
    <mergeCell ref="K42:L42"/>
    <mergeCell ref="A37:B37"/>
    <mergeCell ref="K37:L37"/>
    <mergeCell ref="A38:B38"/>
    <mergeCell ref="K38:L38"/>
    <mergeCell ref="A39:B39"/>
    <mergeCell ref="K39:L39"/>
    <mergeCell ref="A34:B34"/>
    <mergeCell ref="K34:L34"/>
    <mergeCell ref="A35:B35"/>
    <mergeCell ref="K35:L35"/>
    <mergeCell ref="A36:B36"/>
    <mergeCell ref="K36:L36"/>
    <mergeCell ref="A31:B31"/>
    <mergeCell ref="K31:L31"/>
    <mergeCell ref="A32:B32"/>
    <mergeCell ref="K32:L32"/>
    <mergeCell ref="A33:B33"/>
    <mergeCell ref="K33:L33"/>
    <mergeCell ref="A28:B28"/>
    <mergeCell ref="K28:L28"/>
    <mergeCell ref="A29:B29"/>
    <mergeCell ref="K29:L29"/>
    <mergeCell ref="A30:B30"/>
    <mergeCell ref="K30:L30"/>
    <mergeCell ref="A25:B25"/>
    <mergeCell ref="K25:L25"/>
    <mergeCell ref="A26:B26"/>
    <mergeCell ref="K26:L26"/>
    <mergeCell ref="A27:B27"/>
    <mergeCell ref="K27:L27"/>
    <mergeCell ref="A21:L21"/>
    <mergeCell ref="K22:L22"/>
    <mergeCell ref="A23:B23"/>
    <mergeCell ref="K23:L23"/>
    <mergeCell ref="A24:B24"/>
    <mergeCell ref="K24:L24"/>
    <mergeCell ref="A15:L15"/>
    <mergeCell ref="A16:F16"/>
    <mergeCell ref="G16:H16"/>
    <mergeCell ref="A18:K18"/>
    <mergeCell ref="A19:K19"/>
    <mergeCell ref="A20:L20"/>
    <mergeCell ref="A8:L8"/>
    <mergeCell ref="A10:L10"/>
    <mergeCell ref="E11:F11"/>
    <mergeCell ref="A13:F13"/>
    <mergeCell ref="G13:H13"/>
    <mergeCell ref="A14:E14"/>
    <mergeCell ref="I14:J14"/>
    <mergeCell ref="A2:L2"/>
    <mergeCell ref="A3:L3"/>
    <mergeCell ref="A4:L4"/>
    <mergeCell ref="A5:L5"/>
    <mergeCell ref="A6:L6"/>
    <mergeCell ref="A7:L7"/>
  </mergeCells>
  <phoneticPr fontId="2" type="noConversion"/>
  <printOptions horizontalCentered="1"/>
  <pageMargins left="0.19652777777777777" right="0.19652777777777777" top="0.39374999999999999" bottom="0" header="0.39374999999999999" footer="0"/>
  <pageSetup paperSize="9" scale="58" firstPageNumber="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114-1 (3)</vt:lpstr>
      <vt:lpstr>'114-1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李家隆</dc:creator>
  <cp:lastModifiedBy>李家隆</cp:lastModifiedBy>
  <cp:lastPrinted>2025-07-15T07:57:11Z</cp:lastPrinted>
  <dcterms:created xsi:type="dcterms:W3CDTF">2025-07-15T07:56:36Z</dcterms:created>
  <dcterms:modified xsi:type="dcterms:W3CDTF">2025-07-15T07:57:17Z</dcterms:modified>
</cp:coreProperties>
</file>